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710" yWindow="-15" windowWidth="10845" windowHeight="10785" tabRatio="822"/>
  </bookViews>
  <sheets>
    <sheet name="калькуляция 2021" sheetId="54" r:id="rId1"/>
    <sheet name="тариф 01.10.21" sheetId="53" r:id="rId2"/>
    <sheet name="тариф" sheetId="34" r:id="rId3"/>
    <sheet name="калькуляция 2020" sheetId="51" r:id="rId4"/>
    <sheet name="калькуляция 2019" sheetId="50" r:id="rId5"/>
    <sheet name="ТХ дома" sheetId="52" r:id="rId6"/>
  </sheets>
  <definedNames>
    <definedName name="ВИДЫ_МУП" localSheetId="4">#REF!</definedName>
    <definedName name="ВИДЫ_МУП" localSheetId="3">#REF!</definedName>
    <definedName name="ВИДЫ_МУП" localSheetId="0">#REF!</definedName>
    <definedName name="ВИДЫ_МУП">#REF!</definedName>
    <definedName name="_xlnm.Print_Area" localSheetId="4">'калькуляция 2019'!$A$1:$E$126</definedName>
    <definedName name="_xlnm.Print_Area" localSheetId="3">'калькуляция 2020'!$A$1:$E$127</definedName>
    <definedName name="_xlnm.Print_Area" localSheetId="0">'калькуляция 2021'!$A$1:$E$131</definedName>
    <definedName name="Резервный_фонд" localSheetId="4">#REF!</definedName>
    <definedName name="Резервный_фонд" localSheetId="3">#REF!</definedName>
    <definedName name="Резервный_фонд" localSheetId="0">#REF!</definedName>
    <definedName name="Резервный_фонд">#REF!</definedName>
    <definedName name="Система_налогообложения" localSheetId="4">#REF!</definedName>
    <definedName name="Система_налогообложения" localSheetId="3">#REF!</definedName>
    <definedName name="Система_налогообложения" localSheetId="0">#REF!</definedName>
    <definedName name="Система_налогообложения">#REF!</definedName>
    <definedName name="Ставка" localSheetId="4">#REF!</definedName>
    <definedName name="Ставка" localSheetId="3">#REF!</definedName>
    <definedName name="Ставка" localSheetId="0">#REF!</definedName>
    <definedName name="Ставка">#REF!</definedName>
  </definedNames>
  <calcPr calcId="144525" refMode="R1C1"/>
</workbook>
</file>

<file path=xl/calcChain.xml><?xml version="1.0" encoding="utf-8"?>
<calcChain xmlns="http://schemas.openxmlformats.org/spreadsheetml/2006/main">
  <c r="D46" i="54" l="1"/>
  <c r="D89" i="54"/>
  <c r="C124" i="54" l="1"/>
  <c r="C71" i="54"/>
  <c r="C23" i="34"/>
  <c r="C29" i="34"/>
  <c r="C5" i="53"/>
  <c r="C4" i="53"/>
  <c r="C15" i="54"/>
  <c r="C10" i="54"/>
  <c r="C121" i="54"/>
  <c r="C89" i="54"/>
  <c r="B31" i="34"/>
  <c r="C60" i="54"/>
  <c r="C56" i="54"/>
  <c r="D120" i="54"/>
  <c r="D81" i="54"/>
  <c r="G79" i="54"/>
  <c r="F77" i="54" s="1"/>
  <c r="G73" i="54"/>
  <c r="G74" i="54" s="1"/>
  <c r="F72" i="54" s="1"/>
  <c r="G68" i="54"/>
  <c r="G69" i="54" s="1"/>
  <c r="F67" i="54" s="1"/>
  <c r="E65" i="54"/>
  <c r="D62" i="54"/>
  <c r="D58" i="54"/>
  <c r="D56" i="54"/>
  <c r="G54" i="54"/>
  <c r="G55" i="54" s="1"/>
  <c r="F52" i="54" s="1"/>
  <c r="F53" i="54" s="1"/>
  <c r="D51" i="54"/>
  <c r="G48" i="54"/>
  <c r="G43" i="54"/>
  <c r="G44" i="54" s="1"/>
  <c r="D41" i="54"/>
  <c r="H38" i="54"/>
  <c r="H40" i="54" s="1"/>
  <c r="G38" i="54"/>
  <c r="G39" i="54" s="1"/>
  <c r="G32" i="54"/>
  <c r="G33" i="54" s="1"/>
  <c r="G34" i="54" s="1"/>
  <c r="F31" i="54" s="1"/>
  <c r="F32" i="54" s="1"/>
  <c r="D30" i="54"/>
  <c r="G27" i="54"/>
  <c r="D25" i="54"/>
  <c r="G22" i="54"/>
  <c r="G23" i="54" s="1"/>
  <c r="I17" i="54"/>
  <c r="H17" i="54"/>
  <c r="H18" i="54" s="1"/>
  <c r="G17" i="54"/>
  <c r="G18" i="54" s="1"/>
  <c r="D15" i="54"/>
  <c r="H12" i="54"/>
  <c r="H13" i="54" s="1"/>
  <c r="G12" i="54"/>
  <c r="G13" i="54" s="1"/>
  <c r="B4" i="54"/>
  <c r="B33" i="53"/>
  <c r="C28" i="53" s="1"/>
  <c r="B2" i="53"/>
  <c r="C33" i="52"/>
  <c r="C29" i="52"/>
  <c r="C25" i="52"/>
  <c r="C23" i="52" s="1"/>
  <c r="C19" i="52"/>
  <c r="C13" i="52"/>
  <c r="C10" i="52"/>
  <c r="C6" i="52"/>
  <c r="D30" i="53"/>
  <c r="C30" i="53"/>
  <c r="B30" i="53"/>
  <c r="B29" i="53"/>
  <c r="C27" i="53"/>
  <c r="D27" i="53" s="1"/>
  <c r="C26" i="53"/>
  <c r="D26" i="53" s="1"/>
  <c r="C25" i="53"/>
  <c r="D25" i="53" s="1"/>
  <c r="C24" i="53"/>
  <c r="D24" i="53" s="1"/>
  <c r="C23" i="53"/>
  <c r="D23" i="53" s="1"/>
  <c r="C22" i="53"/>
  <c r="D22" i="53" s="1"/>
  <c r="C21" i="53"/>
  <c r="D21" i="53" s="1"/>
  <c r="C20" i="53"/>
  <c r="B20" i="53"/>
  <c r="D17" i="53"/>
  <c r="C17" i="53"/>
  <c r="C63" i="54" s="1"/>
  <c r="D15" i="53"/>
  <c r="C15" i="53"/>
  <c r="C59" i="54" s="1"/>
  <c r="C58" i="54" s="1"/>
  <c r="C14" i="53"/>
  <c r="D14" i="53" s="1"/>
  <c r="C13" i="53"/>
  <c r="D13" i="53" s="1"/>
  <c r="C12" i="53"/>
  <c r="D12" i="53" s="1"/>
  <c r="C11" i="53"/>
  <c r="D11" i="53" s="1"/>
  <c r="C10" i="53"/>
  <c r="D10" i="53" s="1"/>
  <c r="D9" i="53" s="1"/>
  <c r="B9" i="53"/>
  <c r="C8" i="53"/>
  <c r="D8" i="53" s="1"/>
  <c r="C7" i="53"/>
  <c r="D7" i="53" s="1"/>
  <c r="C6" i="53"/>
  <c r="D6" i="53" s="1"/>
  <c r="D5" i="53"/>
  <c r="D4" i="53"/>
  <c r="B3" i="53"/>
  <c r="D64" i="54" l="1"/>
  <c r="D9" i="54"/>
  <c r="D35" i="54"/>
  <c r="C66" i="54"/>
  <c r="C82" i="54"/>
  <c r="C76" i="54"/>
  <c r="C83" i="54"/>
  <c r="C36" i="54"/>
  <c r="C9" i="53"/>
  <c r="C51" i="54"/>
  <c r="C29" i="53"/>
  <c r="C34" i="53" s="1"/>
  <c r="C20" i="54"/>
  <c r="C30" i="54"/>
  <c r="D3" i="53"/>
  <c r="C25" i="54"/>
  <c r="D100" i="54"/>
  <c r="G14" i="54"/>
  <c r="G19" i="54"/>
  <c r="G24" i="54"/>
  <c r="G40" i="54"/>
  <c r="F37" i="54" s="1"/>
  <c r="F38" i="54" s="1"/>
  <c r="G45" i="54"/>
  <c r="F42" i="54" s="1"/>
  <c r="F43" i="54" s="1"/>
  <c r="F21" i="54"/>
  <c r="F22" i="54" s="1"/>
  <c r="H39" i="54"/>
  <c r="H14" i="54"/>
  <c r="H19" i="54"/>
  <c r="G28" i="54"/>
  <c r="F26" i="54" s="1"/>
  <c r="F27" i="54" s="1"/>
  <c r="G49" i="54"/>
  <c r="F47" i="54" s="1"/>
  <c r="F48" i="54" s="1"/>
  <c r="F11" i="54"/>
  <c r="F12" i="54" s="1"/>
  <c r="E56" i="54"/>
  <c r="F68" i="54"/>
  <c r="F73" i="54"/>
  <c r="E58" i="54"/>
  <c r="F78" i="54"/>
  <c r="C3" i="53"/>
  <c r="D20" i="53"/>
  <c r="D28" i="53"/>
  <c r="D29" i="53" s="1"/>
  <c r="H38" i="50"/>
  <c r="G43" i="50"/>
  <c r="G43" i="51"/>
  <c r="H38" i="51"/>
  <c r="G27" i="51"/>
  <c r="F16" i="54" l="1"/>
  <c r="F17" i="54" s="1"/>
  <c r="D90" i="54"/>
  <c r="D123" i="54" s="1"/>
  <c r="E76" i="54"/>
  <c r="G32" i="51"/>
  <c r="H32" i="51" s="1"/>
  <c r="G32" i="50"/>
  <c r="G33" i="51" l="1"/>
  <c r="G34" i="51" s="1"/>
  <c r="F21" i="34"/>
  <c r="G48" i="50" l="1"/>
  <c r="G48" i="51" l="1"/>
  <c r="G49" i="51" l="1"/>
  <c r="G44" i="51"/>
  <c r="G45" i="51" s="1"/>
  <c r="H39" i="51"/>
  <c r="H40" i="51" s="1"/>
  <c r="G38" i="51"/>
  <c r="G39" i="51" s="1"/>
  <c r="G40" i="51" s="1"/>
  <c r="G28" i="51"/>
  <c r="G22" i="51"/>
  <c r="G23" i="51" s="1"/>
  <c r="G24" i="51" s="1"/>
  <c r="I19" i="51"/>
  <c r="I17" i="51"/>
  <c r="H17" i="51"/>
  <c r="H18" i="51" s="1"/>
  <c r="H19" i="51" s="1"/>
  <c r="G17" i="51"/>
  <c r="G18" i="51" s="1"/>
  <c r="G19" i="51" s="1"/>
  <c r="H12" i="51"/>
  <c r="H13" i="51" s="1"/>
  <c r="H14" i="51" s="1"/>
  <c r="G12" i="51"/>
  <c r="G13" i="51" s="1"/>
  <c r="G14" i="51" s="1"/>
  <c r="G22" i="50"/>
  <c r="I17" i="50"/>
  <c r="H17" i="50"/>
  <c r="G17" i="50"/>
  <c r="H12" i="50"/>
  <c r="G12" i="50"/>
  <c r="G79" i="51" l="1"/>
  <c r="G73" i="51"/>
  <c r="G74" i="51" s="1"/>
  <c r="G68" i="51"/>
  <c r="G69" i="51" s="1"/>
  <c r="G54" i="51"/>
  <c r="G55" i="51" s="1"/>
  <c r="G27" i="50"/>
  <c r="H32" i="50" l="1"/>
  <c r="F52" i="51" l="1"/>
  <c r="F42" i="51"/>
  <c r="F31" i="51"/>
  <c r="F21" i="51"/>
  <c r="G79" i="50"/>
  <c r="F11" i="51" l="1"/>
  <c r="F16" i="51"/>
  <c r="F31" i="34" l="1"/>
  <c r="D31" i="34"/>
  <c r="C22" i="34" l="1"/>
  <c r="E22" i="34"/>
  <c r="G22" i="34"/>
  <c r="E13" i="34"/>
  <c r="C13" i="34"/>
  <c r="G13" i="34"/>
  <c r="C17" i="34"/>
  <c r="C11" i="34"/>
  <c r="C14" i="34"/>
  <c r="C41" i="54" s="1"/>
  <c r="E41" i="54" s="1"/>
  <c r="C16" i="34"/>
  <c r="E51" i="54" s="1"/>
  <c r="C18" i="34"/>
  <c r="C20" i="34"/>
  <c r="C62" i="54" s="1"/>
  <c r="E62" i="54" s="1"/>
  <c r="C15" i="34"/>
  <c r="C46" i="54" s="1"/>
  <c r="E46" i="54" s="1"/>
  <c r="C19" i="34"/>
  <c r="C120" i="54" s="1"/>
  <c r="G6" i="34"/>
  <c r="E6" i="34"/>
  <c r="E7" i="34"/>
  <c r="E9" i="34"/>
  <c r="E8" i="34"/>
  <c r="E10" i="34"/>
  <c r="E36" i="54" l="1"/>
  <c r="C35" i="54"/>
  <c r="E35" i="54" s="1"/>
  <c r="C12" i="34"/>
  <c r="G73" i="50"/>
  <c r="G74" i="50" s="1"/>
  <c r="G68" i="50"/>
  <c r="D21" i="34"/>
  <c r="F2" i="34" l="1"/>
  <c r="F30" i="34"/>
  <c r="G29" i="34"/>
  <c r="G28" i="34"/>
  <c r="G27" i="34"/>
  <c r="G26" i="34"/>
  <c r="G25" i="34"/>
  <c r="G24" i="34"/>
  <c r="G23" i="34"/>
  <c r="G20" i="34"/>
  <c r="G19" i="34"/>
  <c r="G18" i="34"/>
  <c r="G17" i="34"/>
  <c r="G16" i="34"/>
  <c r="G15" i="34"/>
  <c r="G14" i="34"/>
  <c r="F12" i="34"/>
  <c r="G11" i="34"/>
  <c r="G10" i="34"/>
  <c r="G9" i="34"/>
  <c r="G8" i="34"/>
  <c r="G7" i="34"/>
  <c r="F5" i="34"/>
  <c r="G5" i="34" l="1"/>
  <c r="G12" i="34"/>
  <c r="G21" i="34"/>
  <c r="G30" i="34"/>
  <c r="F77" i="51"/>
  <c r="F78" i="51" s="1"/>
  <c r="F77" i="50"/>
  <c r="B77" i="51" l="1"/>
  <c r="B78" i="51" s="1"/>
  <c r="B77" i="50"/>
  <c r="B78" i="50" s="1"/>
  <c r="F78" i="50"/>
  <c r="D2" i="34" l="1"/>
  <c r="B4" i="50" s="1"/>
  <c r="B2" i="34"/>
  <c r="B4" i="51" s="1"/>
  <c r="F72" i="50" l="1"/>
  <c r="G69" i="50"/>
  <c r="F67" i="50" s="1"/>
  <c r="G54" i="50"/>
  <c r="G55" i="50" s="1"/>
  <c r="G49" i="50"/>
  <c r="F47" i="50" s="1"/>
  <c r="G44" i="50"/>
  <c r="G45" i="50" s="1"/>
  <c r="F42" i="50" s="1"/>
  <c r="H39" i="50"/>
  <c r="H40" i="50" s="1"/>
  <c r="G38" i="50"/>
  <c r="G39" i="50" s="1"/>
  <c r="G40" i="50" s="1"/>
  <c r="G33" i="50"/>
  <c r="G34" i="50" s="1"/>
  <c r="F31" i="50" s="1"/>
  <c r="G28" i="50"/>
  <c r="F26" i="50" s="1"/>
  <c r="G23" i="50"/>
  <c r="G24" i="50" s="1"/>
  <c r="F21" i="50" s="1"/>
  <c r="I19" i="50"/>
  <c r="H18" i="50"/>
  <c r="H19" i="50" s="1"/>
  <c r="G18" i="50"/>
  <c r="G19" i="50" s="1"/>
  <c r="H13" i="50"/>
  <c r="H14" i="50" s="1"/>
  <c r="G13" i="50"/>
  <c r="G14" i="50" s="1"/>
  <c r="F72" i="51"/>
  <c r="B72" i="51" s="1"/>
  <c r="F47" i="51"/>
  <c r="F37" i="51"/>
  <c r="F11" i="50" l="1"/>
  <c r="F16" i="50"/>
  <c r="F17" i="50" s="1"/>
  <c r="F52" i="50"/>
  <c r="F53" i="50" s="1"/>
  <c r="F37" i="50"/>
  <c r="F38" i="50" s="1"/>
  <c r="F73" i="50"/>
  <c r="B72" i="50"/>
  <c r="F48" i="50"/>
  <c r="F43" i="50"/>
  <c r="F12" i="50"/>
  <c r="F73" i="51"/>
  <c r="B67" i="50"/>
  <c r="F68" i="50"/>
  <c r="F38" i="51"/>
  <c r="F53" i="51"/>
  <c r="F27" i="50"/>
  <c r="F43" i="51"/>
  <c r="F48" i="51"/>
  <c r="F22" i="50"/>
  <c r="F32" i="50"/>
  <c r="B73" i="50" l="1"/>
  <c r="F67" i="51"/>
  <c r="F26" i="51"/>
  <c r="F68" i="51" l="1"/>
  <c r="B67" i="51"/>
  <c r="B68" i="51" s="1"/>
  <c r="F27" i="51"/>
  <c r="F32" i="51"/>
  <c r="F22" i="51"/>
  <c r="F17" i="51" l="1"/>
  <c r="F12" i="51" l="1"/>
  <c r="D121" i="51" l="1"/>
  <c r="D119" i="51" s="1"/>
  <c r="C121" i="51"/>
  <c r="F60" i="51" s="1"/>
  <c r="B121" i="51"/>
  <c r="G60" i="51" s="1"/>
  <c r="D113" i="51"/>
  <c r="D109" i="51"/>
  <c r="D105" i="51"/>
  <c r="D101" i="51"/>
  <c r="D96" i="51"/>
  <c r="D92" i="51"/>
  <c r="D83" i="51"/>
  <c r="D81" i="51"/>
  <c r="C78" i="51"/>
  <c r="C77" i="51"/>
  <c r="D76" i="51"/>
  <c r="D66" i="51"/>
  <c r="D64" i="51" s="1"/>
  <c r="C65" i="51"/>
  <c r="E65" i="51" s="1"/>
  <c r="D62" i="51"/>
  <c r="C61" i="51"/>
  <c r="B60" i="51"/>
  <c r="C60" i="51" s="1"/>
  <c r="D58" i="51"/>
  <c r="D56" i="51"/>
  <c r="D51" i="51"/>
  <c r="D46" i="51"/>
  <c r="D41" i="51"/>
  <c r="D36" i="51"/>
  <c r="D35" i="51" s="1"/>
  <c r="D30" i="51"/>
  <c r="D25" i="51"/>
  <c r="D20" i="51"/>
  <c r="D15" i="51"/>
  <c r="D9" i="51" s="1"/>
  <c r="D10" i="51"/>
  <c r="G88" i="51" l="1"/>
  <c r="D94" i="51"/>
  <c r="D98" i="51"/>
  <c r="D103" i="51"/>
  <c r="D107" i="51"/>
  <c r="D111" i="51"/>
  <c r="D118" i="51"/>
  <c r="D91" i="51"/>
  <c r="D93" i="51"/>
  <c r="D95" i="51"/>
  <c r="D97" i="51"/>
  <c r="D99" i="51"/>
  <c r="D102" i="51"/>
  <c r="D104" i="51"/>
  <c r="D106" i="51"/>
  <c r="D108" i="51"/>
  <c r="D110" i="51"/>
  <c r="D112" i="51"/>
  <c r="D117" i="51"/>
  <c r="D114" i="51"/>
  <c r="D116" i="51"/>
  <c r="D115" i="51"/>
  <c r="C68" i="51"/>
  <c r="C67" i="51"/>
  <c r="C72" i="51"/>
  <c r="B73" i="51"/>
  <c r="D100" i="51" l="1"/>
  <c r="D90" i="51"/>
  <c r="C73" i="51"/>
  <c r="C72" i="50"/>
  <c r="C73" i="50"/>
  <c r="D120" i="50"/>
  <c r="D91" i="50" s="1"/>
  <c r="C120" i="50"/>
  <c r="B120" i="50"/>
  <c r="F10" i="50"/>
  <c r="D89" i="51" l="1"/>
  <c r="D120" i="51" s="1"/>
  <c r="B21" i="34"/>
  <c r="D103" i="50" l="1"/>
  <c r="D104" i="50"/>
  <c r="D105" i="50"/>
  <c r="D106" i="50"/>
  <c r="D107" i="50"/>
  <c r="D108" i="50"/>
  <c r="D109" i="50"/>
  <c r="D110" i="50"/>
  <c r="D111" i="50"/>
  <c r="D112" i="50"/>
  <c r="D113" i="50"/>
  <c r="D114" i="50"/>
  <c r="D115" i="50"/>
  <c r="D116" i="50"/>
  <c r="D117" i="50"/>
  <c r="D118" i="50"/>
  <c r="D102" i="50"/>
  <c r="D92" i="50"/>
  <c r="D93" i="50"/>
  <c r="D94" i="50"/>
  <c r="D95" i="50"/>
  <c r="D96" i="50"/>
  <c r="D97" i="50"/>
  <c r="D98" i="50"/>
  <c r="D99" i="50"/>
  <c r="D100" i="50"/>
  <c r="D101" i="50" l="1"/>
  <c r="C77" i="50" l="1"/>
  <c r="C78" i="50"/>
  <c r="C67" i="50" l="1"/>
  <c r="B68" i="50" l="1"/>
  <c r="C68" i="50" s="1"/>
  <c r="D5" i="34" l="1"/>
  <c r="F15" i="50"/>
  <c r="F20" i="50"/>
  <c r="F25" i="50"/>
  <c r="F30" i="50"/>
  <c r="E11" i="34"/>
  <c r="D12" i="34"/>
  <c r="F36" i="50"/>
  <c r="E14" i="34"/>
  <c r="F41" i="50" s="1"/>
  <c r="E15" i="34"/>
  <c r="F46" i="50" s="1"/>
  <c r="E16" i="34"/>
  <c r="F51" i="50" s="1"/>
  <c r="E17" i="34"/>
  <c r="F56" i="50" s="1"/>
  <c r="B57" i="50" s="1"/>
  <c r="B56" i="50" s="1"/>
  <c r="E18" i="34"/>
  <c r="E19" i="34"/>
  <c r="E20" i="34"/>
  <c r="F62" i="50" s="1"/>
  <c r="B63" i="50" s="1"/>
  <c r="E23" i="34"/>
  <c r="F66" i="50" s="1"/>
  <c r="F69" i="50" s="1"/>
  <c r="E24" i="34"/>
  <c r="F71" i="50" s="1"/>
  <c r="E25" i="34"/>
  <c r="F76" i="50" s="1"/>
  <c r="E26" i="34"/>
  <c r="F81" i="50" s="1"/>
  <c r="B82" i="50" s="1"/>
  <c r="C82" i="50" s="1"/>
  <c r="E27" i="34"/>
  <c r="F83" i="50" s="1"/>
  <c r="B83" i="50" s="1"/>
  <c r="E28" i="34"/>
  <c r="E29" i="34"/>
  <c r="D30" i="34"/>
  <c r="D32" i="34" s="1"/>
  <c r="B30" i="34"/>
  <c r="B12" i="34"/>
  <c r="B5" i="34"/>
  <c r="E30" i="34" l="1"/>
  <c r="E32" i="34" s="1"/>
  <c r="B46" i="50"/>
  <c r="C46" i="50" s="1"/>
  <c r="F49" i="50"/>
  <c r="B36" i="50"/>
  <c r="C36" i="50" s="1"/>
  <c r="F39" i="50"/>
  <c r="B51" i="50"/>
  <c r="C51" i="50" s="1"/>
  <c r="B41" i="50"/>
  <c r="C41" i="50" s="1"/>
  <c r="F44" i="50"/>
  <c r="F79" i="50"/>
  <c r="B79" i="50" s="1"/>
  <c r="C79" i="50" s="1"/>
  <c r="F74" i="50"/>
  <c r="B74" i="50" s="1"/>
  <c r="B71" i="50" s="1"/>
  <c r="B30" i="50"/>
  <c r="C30" i="50" s="1"/>
  <c r="F33" i="50"/>
  <c r="B20" i="50"/>
  <c r="C20" i="50" s="1"/>
  <c r="F23" i="50"/>
  <c r="B10" i="50"/>
  <c r="C10" i="50" s="1"/>
  <c r="F13" i="50"/>
  <c r="B25" i="50"/>
  <c r="C25" i="50" s="1"/>
  <c r="F28" i="50"/>
  <c r="B15" i="50"/>
  <c r="C15" i="50" s="1"/>
  <c r="F18" i="50"/>
  <c r="B69" i="50"/>
  <c r="C69" i="50" s="1"/>
  <c r="B62" i="50"/>
  <c r="C63" i="50"/>
  <c r="F58" i="50"/>
  <c r="B59" i="50" s="1"/>
  <c r="F89" i="50"/>
  <c r="B89" i="50" s="1"/>
  <c r="E21" i="34"/>
  <c r="E5" i="34"/>
  <c r="E12" i="34"/>
  <c r="B9" i="50" l="1"/>
  <c r="C74" i="50"/>
  <c r="C59" i="50"/>
  <c r="B58" i="50"/>
  <c r="C28" i="34"/>
  <c r="C7" i="34"/>
  <c r="C8" i="34"/>
  <c r="C9" i="34"/>
  <c r="C10" i="34"/>
  <c r="F36" i="51"/>
  <c r="F41" i="51"/>
  <c r="F46" i="51"/>
  <c r="F51" i="51"/>
  <c r="F56" i="51"/>
  <c r="B57" i="51" s="1"/>
  <c r="B56" i="51" s="1"/>
  <c r="C56" i="51" s="1"/>
  <c r="E56" i="51" s="1"/>
  <c r="F62" i="51"/>
  <c r="B63" i="51" s="1"/>
  <c r="C24" i="34"/>
  <c r="C25" i="34"/>
  <c r="F76" i="51" s="1"/>
  <c r="F79" i="51" s="1"/>
  <c r="B79" i="51" s="1"/>
  <c r="C26" i="34"/>
  <c r="C27" i="34"/>
  <c r="F83" i="51" s="1"/>
  <c r="B83" i="51" s="1"/>
  <c r="C83" i="51" s="1"/>
  <c r="E83" i="51" s="1"/>
  <c r="E89" i="54"/>
  <c r="C6" i="34"/>
  <c r="B32" i="34"/>
  <c r="F66" i="51" l="1"/>
  <c r="F25" i="51"/>
  <c r="E25" i="54"/>
  <c r="F15" i="51"/>
  <c r="E15" i="54"/>
  <c r="F10" i="51"/>
  <c r="F81" i="51"/>
  <c r="B82" i="51" s="1"/>
  <c r="C81" i="54"/>
  <c r="E81" i="54" s="1"/>
  <c r="F71" i="51"/>
  <c r="E71" i="54"/>
  <c r="F30" i="51"/>
  <c r="E30" i="54"/>
  <c r="F20" i="51"/>
  <c r="E20" i="54"/>
  <c r="E83" i="54"/>
  <c r="C88" i="54"/>
  <c r="C79" i="51"/>
  <c r="C76" i="51" s="1"/>
  <c r="E76" i="51" s="1"/>
  <c r="B76" i="51"/>
  <c r="F69" i="51"/>
  <c r="B69" i="51" s="1"/>
  <c r="C82" i="51"/>
  <c r="B81" i="51"/>
  <c r="C81" i="51" s="1"/>
  <c r="E81" i="51" s="1"/>
  <c r="F74" i="51"/>
  <c r="B74" i="51"/>
  <c r="F89" i="51"/>
  <c r="B89" i="51" s="1"/>
  <c r="C89" i="51" s="1"/>
  <c r="E89" i="51" s="1"/>
  <c r="C63" i="51"/>
  <c r="B62" i="51"/>
  <c r="C62" i="51" s="1"/>
  <c r="E62" i="51" s="1"/>
  <c r="F58" i="51"/>
  <c r="B59" i="51" s="1"/>
  <c r="B51" i="51"/>
  <c r="C51" i="51" s="1"/>
  <c r="E51" i="51" s="1"/>
  <c r="F44" i="51"/>
  <c r="B41" i="51"/>
  <c r="C41" i="51" s="1"/>
  <c r="E41" i="51" s="1"/>
  <c r="F49" i="51"/>
  <c r="B46" i="51"/>
  <c r="C46" i="51" s="1"/>
  <c r="E46" i="51" s="1"/>
  <c r="F39" i="51"/>
  <c r="B36" i="51"/>
  <c r="F13" i="51"/>
  <c r="B10" i="51"/>
  <c r="F28" i="51"/>
  <c r="B25" i="51"/>
  <c r="C25" i="51" s="1"/>
  <c r="E25" i="51" s="1"/>
  <c r="F18" i="51"/>
  <c r="B15" i="51"/>
  <c r="C15" i="51" s="1"/>
  <c r="E15" i="51" s="1"/>
  <c r="F33" i="51"/>
  <c r="B30" i="51"/>
  <c r="C30" i="51" s="1"/>
  <c r="E30" i="51" s="1"/>
  <c r="F23" i="51"/>
  <c r="B20" i="51"/>
  <c r="C20" i="51" s="1"/>
  <c r="E20" i="51" s="1"/>
  <c r="C5" i="34"/>
  <c r="C30" i="34"/>
  <c r="C21" i="34"/>
  <c r="G88" i="50"/>
  <c r="D83" i="50"/>
  <c r="D81" i="50"/>
  <c r="B81" i="50"/>
  <c r="D76" i="50"/>
  <c r="C71" i="50"/>
  <c r="E71" i="50" s="1"/>
  <c r="D66" i="50"/>
  <c r="D64" i="50" s="1"/>
  <c r="C65" i="50"/>
  <c r="E65" i="50" s="1"/>
  <c r="D62" i="50"/>
  <c r="C61" i="50"/>
  <c r="F60" i="50"/>
  <c r="B60" i="50"/>
  <c r="D58" i="50"/>
  <c r="D56" i="50"/>
  <c r="D51" i="50"/>
  <c r="E51" i="50" s="1"/>
  <c r="D46" i="50"/>
  <c r="E46" i="50" s="1"/>
  <c r="D41" i="50"/>
  <c r="E41" i="50" s="1"/>
  <c r="D36" i="50"/>
  <c r="E36" i="50" s="1"/>
  <c r="D30" i="50"/>
  <c r="E30" i="50" s="1"/>
  <c r="D25" i="50"/>
  <c r="E25" i="50" s="1"/>
  <c r="D20" i="50"/>
  <c r="E20" i="50" s="1"/>
  <c r="D15" i="50"/>
  <c r="E15" i="50" s="1"/>
  <c r="D10" i="50"/>
  <c r="C32" i="34" l="1"/>
  <c r="C34" i="34"/>
  <c r="C133" i="54" s="1"/>
  <c r="E10" i="54"/>
  <c r="C9" i="54"/>
  <c r="E9" i="54" s="1"/>
  <c r="E66" i="54"/>
  <c r="C64" i="54"/>
  <c r="C123" i="54" s="1"/>
  <c r="C74" i="51"/>
  <c r="B71" i="51"/>
  <c r="C71" i="51" s="1"/>
  <c r="E71" i="51" s="1"/>
  <c r="C69" i="51"/>
  <c r="C66" i="51" s="1"/>
  <c r="B66" i="51"/>
  <c r="C36" i="51"/>
  <c r="C59" i="51"/>
  <c r="B58" i="51"/>
  <c r="C58" i="51" s="1"/>
  <c r="E58" i="51" s="1"/>
  <c r="C10" i="51"/>
  <c r="B9" i="51"/>
  <c r="C60" i="50"/>
  <c r="B35" i="50"/>
  <c r="D9" i="50"/>
  <c r="E10" i="50"/>
  <c r="C56" i="50"/>
  <c r="E56" i="50" s="1"/>
  <c r="C62" i="50"/>
  <c r="E62" i="50" s="1"/>
  <c r="C81" i="50"/>
  <c r="E81" i="50" s="1"/>
  <c r="D35" i="50"/>
  <c r="B76" i="50"/>
  <c r="C76" i="50"/>
  <c r="E76" i="50" s="1"/>
  <c r="C89" i="50"/>
  <c r="E64" i="54" l="1"/>
  <c r="B64" i="51"/>
  <c r="E66" i="51"/>
  <c r="C64" i="51"/>
  <c r="E64" i="51" s="1"/>
  <c r="B35" i="51"/>
  <c r="E36" i="51"/>
  <c r="C35" i="51"/>
  <c r="E35" i="51" s="1"/>
  <c r="E10" i="51"/>
  <c r="C9" i="51"/>
  <c r="C58" i="50"/>
  <c r="C66" i="50"/>
  <c r="E66" i="50" s="1"/>
  <c r="C83" i="50"/>
  <c r="E83" i="50" s="1"/>
  <c r="C9" i="50"/>
  <c r="E9" i="50" s="1"/>
  <c r="E123" i="54" l="1"/>
  <c r="B120" i="51"/>
  <c r="B122" i="51" s="1"/>
  <c r="E9" i="51"/>
  <c r="C120" i="51"/>
  <c r="C35" i="50"/>
  <c r="E35" i="50" s="1"/>
  <c r="E58" i="50"/>
  <c r="C64" i="50"/>
  <c r="C122" i="51" l="1"/>
  <c r="E120" i="51"/>
  <c r="C119" i="50"/>
  <c r="E64" i="50"/>
  <c r="B66" i="50"/>
  <c r="B64" i="50" l="1"/>
  <c r="B119" i="50" s="1"/>
  <c r="B121" i="50" s="1"/>
  <c r="G60" i="50" s="1"/>
  <c r="C121" i="50"/>
  <c r="D90" i="50"/>
  <c r="D89" i="50" s="1"/>
  <c r="D119" i="50" l="1"/>
  <c r="E89" i="50"/>
  <c r="E119" i="50" l="1"/>
</calcChain>
</file>

<file path=xl/sharedStrings.xml><?xml version="1.0" encoding="utf-8"?>
<sst xmlns="http://schemas.openxmlformats.org/spreadsheetml/2006/main" count="573" uniqueCount="189">
  <si>
    <t>Прочие расходы</t>
  </si>
  <si>
    <t>Адрес</t>
  </si>
  <si>
    <t>I Ремонт конструктивных элементов жилых зданий *</t>
  </si>
  <si>
    <t>1.1 Работы выполняемые в отношении всех видов фундаментов , стен, перекрытий и покрытий,колонн и столбов, балок (ригелей), перекрытий, лестниц,колонн и столбов,балок (ригелей) перекрытий, лестниц</t>
  </si>
  <si>
    <t>1.2 Работы выполняемые в целях надлежащего содержания фасадов, внутренней отделки</t>
  </si>
  <si>
    <t>1.3 Работы выполняемые в целях надлежащего содержания полов, полов оконных и дверных заполнений помещений, относящихся к общему имуществу</t>
  </si>
  <si>
    <t>1.4 Содержание подвалов и чердаков</t>
  </si>
  <si>
    <t>1.5 Работы выполняемые в целях надлежащего  содержания крыш</t>
  </si>
  <si>
    <t>II Ремонт и обслуживание внутридомового инженерного оборудования</t>
  </si>
  <si>
    <t>2.1 Обслуживание систем холодного водоснабжения и водоотведения</t>
  </si>
  <si>
    <t>2.2 Обслуживание систем теплоснабжения</t>
  </si>
  <si>
    <t>2.3 Обслуживание систем электроснабжения</t>
  </si>
  <si>
    <t>2.4 Обслуживание вентиляционных каналов и дымоходов</t>
  </si>
  <si>
    <t xml:space="preserve">2.5 Работы выполняемые в целях надлежащего содержания и ремонта лифта </t>
  </si>
  <si>
    <t>2.6 Расходы на электроэнергию лифтов</t>
  </si>
  <si>
    <t>2.7 Расходы на электроэнергию МОП</t>
  </si>
  <si>
    <t>2.8 Поверка подомовых приборов учета тепловой энергии</t>
  </si>
  <si>
    <t>III Работы и услуги по содержанию иного общего имущества в многоквартирном доме</t>
  </si>
  <si>
    <t>3.1 Уборка лестничных клеток</t>
  </si>
  <si>
    <t>3.2 Обслуживание территорий домовладений (подметание)</t>
  </si>
  <si>
    <t>3.3. Уборка контейнерных площадок</t>
  </si>
  <si>
    <t>3.4 Обслуживание мусоропроводов</t>
  </si>
  <si>
    <t>3.5 Дератизация и дезинсекция мест общего пользования,подвалов</t>
  </si>
  <si>
    <t>3.6 Ремонтно-аварийное обслуживание</t>
  </si>
  <si>
    <t>IV Расходы на управление жилищным фондом</t>
  </si>
  <si>
    <t>V Общие эксплуатационные расходы</t>
  </si>
  <si>
    <t>Итого тариф руб.на 1 м.кв. общей площади квартир</t>
  </si>
  <si>
    <t>Площадь, кв. м.</t>
  </si>
  <si>
    <t>Сумма</t>
  </si>
  <si>
    <t>руб./м²</t>
  </si>
  <si>
    <t>Наименование услуг или работ</t>
  </si>
  <si>
    <t>Экономист</t>
  </si>
  <si>
    <t>____________________</t>
  </si>
  <si>
    <t>руб.</t>
  </si>
  <si>
    <t>Всего расходов по полной себестоимости</t>
  </si>
  <si>
    <t>Заработная плата рабочих</t>
  </si>
  <si>
    <t>Отчисления на социальные нужды</t>
  </si>
  <si>
    <t>Материалы</t>
  </si>
  <si>
    <t>Тариф на 1 кв.м.</t>
  </si>
  <si>
    <t>Услуги сторонних организаций (стоимость по договору)</t>
  </si>
  <si>
    <t>согласно тарифа на электроэнергию (договор с ГУП РК "Крымэнерго)</t>
  </si>
  <si>
    <t>год</t>
  </si>
  <si>
    <t>месяц</t>
  </si>
  <si>
    <t>ПЛАН</t>
  </si>
  <si>
    <t>ФАКТ</t>
  </si>
  <si>
    <t>__________________</t>
  </si>
  <si>
    <t>МУП "Ремонтно-эксплуатационная организация - 1" г.Ялта</t>
  </si>
  <si>
    <t>Начальник</t>
  </si>
  <si>
    <t>Журавлев Ю.Л.</t>
  </si>
  <si>
    <t>Почтово - телеграфные и телефонные расходы</t>
  </si>
  <si>
    <t>Услуги банка</t>
  </si>
  <si>
    <t>Канцелярские товары</t>
  </si>
  <si>
    <t>Консультационные, информационные, аудиторские услуги</t>
  </si>
  <si>
    <t>Амортизационные отчисления</t>
  </si>
  <si>
    <t>Содержание и ремонт зданий, сооружений, машин, оборудования, инвентаря и другого имущества</t>
  </si>
  <si>
    <t>отопление</t>
  </si>
  <si>
    <t>вода</t>
  </si>
  <si>
    <t>электроэнергия</t>
  </si>
  <si>
    <t>техинвентаризация</t>
  </si>
  <si>
    <t>ремонт автотранспорта, запчасти</t>
  </si>
  <si>
    <t>страхование транспортных средств</t>
  </si>
  <si>
    <t>Расходы на обслуживание работников производства</t>
  </si>
  <si>
    <t>подготовка и переподготовка кадров</t>
  </si>
  <si>
    <t>СИЗ и инвентарь</t>
  </si>
  <si>
    <t>Вывоз мусора с территории жил.фонда</t>
  </si>
  <si>
    <t>Прочие общепроизводственные расходы</t>
  </si>
  <si>
    <t>Административно-управленческие расходы</t>
  </si>
  <si>
    <t>Общепроизводственные расходы</t>
  </si>
  <si>
    <t>Отклонение</t>
  </si>
  <si>
    <t>(гр. 3- гр. 4 = гр.5)</t>
  </si>
  <si>
    <t>Заработная плата рабочих (Печник)</t>
  </si>
  <si>
    <t>2.6 и 2.7  Расходы на электроэнергию лифтов и МОП</t>
  </si>
  <si>
    <t>IV и V Расходы на управление жилищным фондом и  Общие эксплуатационные расходы</t>
  </si>
  <si>
    <t>Старостюк ИВ.</t>
  </si>
  <si>
    <t xml:space="preserve">Калькуляция себестоимости услуг по содержанию домов, сооружений и придомовых территорий </t>
  </si>
  <si>
    <t>за период с 01.01.2019  по 31.12.2019</t>
  </si>
  <si>
    <t xml:space="preserve">Договор на обслуживание лифтов </t>
  </si>
  <si>
    <t>договор с ГУП РК "Крымэнерго (счет, акт )</t>
  </si>
  <si>
    <t>Заработная плата работников АУП (начальник, бухгалтера, секретарь и пр.)</t>
  </si>
  <si>
    <t>Обслуживание компьютерной и оргтехники, локальной сети, заправка катриджа</t>
  </si>
  <si>
    <t>Расходы на программное обеспечение, электронные сервисы, технологическую поддержку ПО</t>
  </si>
  <si>
    <t>природный газ</t>
  </si>
  <si>
    <t>Топливо,горюче-смазочные материалы</t>
  </si>
  <si>
    <t>мед.осмотр.</t>
  </si>
  <si>
    <r>
      <t>Заработная плата работников общего производства</t>
    </r>
    <r>
      <rPr>
        <sz val="11"/>
        <color indexed="8"/>
        <rFont val="Times New Roman"/>
        <family val="1"/>
        <charset val="204"/>
      </rPr>
      <t xml:space="preserve"> (кладовщик, водители, мастера, инженеры и пр.)</t>
    </r>
  </si>
  <si>
    <t>за период с 01.01.2020  по 31.12.2020</t>
  </si>
  <si>
    <t>Содержание компьютерной техники</t>
  </si>
  <si>
    <t>горюче-смазочные материалы</t>
  </si>
  <si>
    <t>Расходы по организации работ</t>
  </si>
  <si>
    <t>износ и списание МБП</t>
  </si>
  <si>
    <t>содержание пожарной и сторожевой охраны, производственных мастерских</t>
  </si>
  <si>
    <t>подсобный раб</t>
  </si>
  <si>
    <t>Номер по порядку</t>
  </si>
  <si>
    <t>Текущий год</t>
  </si>
  <si>
    <t>Год постройки</t>
  </si>
  <si>
    <t>Срок эксплуатации</t>
  </si>
  <si>
    <t>Общая площадь дома</t>
  </si>
  <si>
    <t>Площадь дома без балконов и лоджий</t>
  </si>
  <si>
    <t>Наличие централизованного отопления</t>
  </si>
  <si>
    <t>Этажность дома</t>
  </si>
  <si>
    <t>Количество квартир</t>
  </si>
  <si>
    <t>Всего квартир</t>
  </si>
  <si>
    <t>которые оборудованы ванными</t>
  </si>
  <si>
    <t>которые не оборудованы ванными</t>
  </si>
  <si>
    <t>со скрытой электро-проводкой</t>
  </si>
  <si>
    <t>с открытой электро-проводкой</t>
  </si>
  <si>
    <t>Количество проживающих</t>
  </si>
  <si>
    <t>Площадь кровель</t>
  </si>
  <si>
    <t>из кровельной стали</t>
  </si>
  <si>
    <t>из рубероида, толи и др. рулонных материалов</t>
  </si>
  <si>
    <t>из шифера, черепицы и др. штучных материалов</t>
  </si>
  <si>
    <t>Площадь МКД по материалу стен, перекрытий:</t>
  </si>
  <si>
    <t>кирпичные и каменные здания</t>
  </si>
  <si>
    <t>крупнопанельные блочные здания</t>
  </si>
  <si>
    <t>деревянные здания и из других материалов</t>
  </si>
  <si>
    <t>Площадь подвала</t>
  </si>
  <si>
    <t>Площадь подъезда</t>
  </si>
  <si>
    <t>Площадь придомовой территории</t>
  </si>
  <si>
    <t>с усовершенствованным покрытием</t>
  </si>
  <si>
    <t>без покрытий</t>
  </si>
  <si>
    <t>газоны</t>
  </si>
  <si>
    <t>Местоположение контейнера мусоропровода</t>
  </si>
  <si>
    <t>на 1-м этаже</t>
  </si>
  <si>
    <t>в цоколе</t>
  </si>
  <si>
    <t>Количество теплосчетчиков</t>
  </si>
  <si>
    <t>Период поверки теплосчетчика</t>
  </si>
  <si>
    <t>да</t>
  </si>
  <si>
    <t>Площадь квартир с централизованным отоплением</t>
  </si>
  <si>
    <t>Расход  электроэнергии лифтов, кВт, (за прошлый год)</t>
  </si>
  <si>
    <t>Расход электроэнергии МОП, кВт,  (за прошлый год)</t>
  </si>
  <si>
    <t>столяр 3р.</t>
  </si>
  <si>
    <t>штукатур 4р.</t>
  </si>
  <si>
    <t>маляр 3р.</t>
  </si>
  <si>
    <t>маляр 2р.</t>
  </si>
  <si>
    <t>каменщик 3р.</t>
  </si>
  <si>
    <t>плотник 4р.</t>
  </si>
  <si>
    <t>кровельщик 3р.</t>
  </si>
  <si>
    <t>слесарь-сантехник 5р</t>
  </si>
  <si>
    <t>электрогазосварщик 5р.</t>
  </si>
  <si>
    <t>электрик 4р.</t>
  </si>
  <si>
    <t>печник 4р.</t>
  </si>
  <si>
    <t>3.5 Дератизация и дезинсекция мест общего пользования, подвалов</t>
  </si>
  <si>
    <t>Дворник 1р.</t>
  </si>
  <si>
    <t>Уборщик мусоропровода 1р.</t>
  </si>
  <si>
    <t>Заработная плата рабочих (Дворник)</t>
  </si>
  <si>
    <t>Площадь контейнерных площадок, м.кв.</t>
  </si>
  <si>
    <t>1.1 Работы выполняемые в отношении всех видов фундаментов, стен, перекрытий и покрытий, колонн и столбов, балок (ригелей), перекрытий, лестниц, колонн и столбов, балок (ригелей) перекрытий, лестниц</t>
  </si>
  <si>
    <t>Заработная плата рабочих (Уборщик мусоропроводов)</t>
  </si>
  <si>
    <t>Коэфф</t>
  </si>
  <si>
    <t>1.1 Работы выполняемые в отношении всех видов фундаментов, стен, перекрытий и покрытий, колонн и столбов, балок (ригелей), перекрытий, лестниц,колонн и столбов,балок (ригелей) перекрытий, лестниц</t>
  </si>
  <si>
    <t>Тимирязева, 35/1/2/3/4</t>
  </si>
  <si>
    <t>с 01.10.2021</t>
  </si>
  <si>
    <t>ТАРИФ</t>
  </si>
  <si>
    <t>Итого в месяц</t>
  </si>
  <si>
    <t>Итого в год</t>
  </si>
  <si>
    <t>I. Обслуживание конструктивных элементов жилых зданий*</t>
  </si>
  <si>
    <t>1.1. Содержание всех видов фундаментов, стен, перекрытий и покрытий, колонн и столбов, балок (ригелей) перекрытий, лестниц, перегородок</t>
  </si>
  <si>
    <t>1.2. Содержание фасадов, внутренней отделки</t>
  </si>
  <si>
    <t>1.3. Содержание полов, оконных и дверных заполнений помещений, относящихся к общему имуществу</t>
  </si>
  <si>
    <t>1.4. Содержание подвалов</t>
  </si>
  <si>
    <t>1.5. Содержание крыш</t>
  </si>
  <si>
    <t>II. Обслуживание внутридомового инженерного оборудования</t>
  </si>
  <si>
    <t>2.1. Обслуживание систем холодного водоснабжения и водоотведения</t>
  </si>
  <si>
    <t>2.2. Обслуживание систем теплоснабжения</t>
  </si>
  <si>
    <t>2.3. Обслуживание систем электроснабжения</t>
  </si>
  <si>
    <t>2.4. Обслуживание вентиляционных каналов и дымоходов</t>
  </si>
  <si>
    <t>2.5 Техническое обслуживание лифта (лифтов) в многоквартирном доме, в том числе: - техническое обслуживание лифтов; -аварийное обслуживание лифтов; -диспетчерский контроль и техническое обслуживание систем диспетчерской связи лифтов; - страхование обязательной гражданской ответственности владельца опасного объекта (лифта);  -оценка соответствия лифтов, отработавших назначенный срок службы</t>
  </si>
  <si>
    <t>2.6. Техническое обслуживание внутридомового газового оборудования</t>
  </si>
  <si>
    <t>2.7. Техническое диагностирование внутридомового газового оборудования</t>
  </si>
  <si>
    <t>2.8. Поверка и техническое обслуживание подомовых приборов учета тепловой энергии</t>
  </si>
  <si>
    <t>2.9. Обслуживание систем пожаротушения</t>
  </si>
  <si>
    <t>2.10. Обслуживание систем дымоудаления</t>
  </si>
  <si>
    <t>III. Содержание иного общего имущества в многоквартирном доме</t>
  </si>
  <si>
    <t>3.1. Уборка лестничных клеток</t>
  </si>
  <si>
    <t>3.2. Обслуживание территорий домовладений (подметание)</t>
  </si>
  <si>
    <t>3.4. Обслуживание мусоропроводов</t>
  </si>
  <si>
    <t>3.5. Дератизация и дезинсекция мест общего пользования, подвалов и мусоропроводов</t>
  </si>
  <si>
    <t>3.6. Аварийно-диспетчерское обслуживание</t>
  </si>
  <si>
    <t>IV. Расходы на управление жилищным фондом</t>
  </si>
  <si>
    <t>V.Общие эксплуатационные расходы</t>
  </si>
  <si>
    <t xml:space="preserve">ИТОГО тариф руб.на 1 м.кв. общей площади квартир </t>
  </si>
  <si>
    <t>VΙ. Расходы на коммунальные ресурсы, потребляемые при использовании и содержании общего имущества в многоквартином доме:</t>
  </si>
  <si>
    <t>6.1. Расходы на электроэнергию</t>
  </si>
  <si>
    <t>6.2. Расходы по водоснабжению и водоотведению</t>
  </si>
  <si>
    <t>за период с 01.01.2021  по 31.12.2021</t>
  </si>
  <si>
    <t xml:space="preserve">Отчет о выполненных работах и  услугах по содержанию домов, сооружений и придомовых территорий </t>
  </si>
  <si>
    <t>Тимирязева, д.35 к.1, 2, 3, 4</t>
  </si>
  <si>
    <t>Оплата за 2021 г., руб. (с учетом оплат на будущий период)</t>
  </si>
  <si>
    <t>Задолженность населения на 31.12.2021, руб. (с учетом оплат на будущий период и корректировок)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</si>
</sst>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г_р_н_._-;\-* #,##0.00_г_р_н_._-;_-* &quot;-&quot;??_г_р_н_._-;_-@_-"/>
    <numFmt numFmtId="165" formatCode="0.0000"/>
    <numFmt numFmtId="166" formatCode="#,##0.0000"/>
    <numFmt numFmtId="167" formatCode="#,##0.0"/>
    <numFmt numFmtId="168" formatCode="#,##0.000"/>
    <numFmt numFmtId="169" formatCode="0.0000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/>
    <xf numFmtId="4" fontId="0" fillId="0" borderId="0" xfId="0" applyNumberFormat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6" fillId="0" borderId="1" xfId="0" applyNumberFormat="1" applyFont="1" applyFill="1" applyBorder="1"/>
    <xf numFmtId="0" fontId="9" fillId="0" borderId="1" xfId="0" applyFont="1" applyFill="1" applyBorder="1" applyAlignment="1">
      <alignment vertical="top" wrapText="1"/>
    </xf>
    <xf numFmtId="165" fontId="7" fillId="0" borderId="1" xfId="0" applyNumberFormat="1" applyFont="1" applyFill="1" applyBorder="1"/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165" fontId="12" fillId="2" borderId="1" xfId="0" applyNumberFormat="1" applyFont="1" applyFill="1" applyBorder="1"/>
    <xf numFmtId="0" fontId="8" fillId="4" borderId="1" xfId="0" applyFont="1" applyFill="1" applyBorder="1" applyAlignment="1">
      <alignment vertical="top" wrapText="1"/>
    </xf>
    <xf numFmtId="0" fontId="7" fillId="0" borderId="0" xfId="0" applyFont="1" applyFill="1" applyBorder="1"/>
    <xf numFmtId="0" fontId="7" fillId="0" borderId="0" xfId="0" applyFont="1" applyAlignment="1">
      <alignment horizontal="center"/>
    </xf>
    <xf numFmtId="4" fontId="7" fillId="0" borderId="0" xfId="0" applyNumberFormat="1" applyFont="1" applyFill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4" fontId="12" fillId="3" borderId="1" xfId="0" applyNumberFormat="1" applyFont="1" applyFill="1" applyBorder="1"/>
    <xf numFmtId="2" fontId="0" fillId="0" borderId="0" xfId="0" applyNumberFormat="1"/>
    <xf numFmtId="166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4" fontId="6" fillId="0" borderId="2" xfId="0" applyNumberFormat="1" applyFont="1" applyBorder="1"/>
    <xf numFmtId="0" fontId="7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167" fontId="7" fillId="0" borderId="1" xfId="0" applyNumberFormat="1" applyFont="1" applyFill="1" applyBorder="1"/>
    <xf numFmtId="0" fontId="15" fillId="0" borderId="1" xfId="0" applyFont="1" applyFill="1" applyBorder="1" applyAlignment="1">
      <alignment vertical="top" wrapText="1"/>
    </xf>
    <xf numFmtId="0" fontId="17" fillId="0" borderId="0" xfId="0" applyFont="1"/>
    <xf numFmtId="0" fontId="18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6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 indent="3"/>
    </xf>
    <xf numFmtId="0" fontId="18" fillId="0" borderId="1" xfId="0" applyFont="1" applyFill="1" applyBorder="1" applyAlignment="1">
      <alignment horizontal="left" vertical="center" wrapText="1" indent="3"/>
    </xf>
    <xf numFmtId="0" fontId="18" fillId="0" borderId="1" xfId="0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3"/>
    </xf>
    <xf numFmtId="0" fontId="15" fillId="0" borderId="1" xfId="0" applyFont="1" applyFill="1" applyBorder="1" applyAlignment="1">
      <alignment horizontal="right" vertical="top" wrapText="1"/>
    </xf>
    <xf numFmtId="166" fontId="7" fillId="0" borderId="1" xfId="0" applyNumberFormat="1" applyFont="1" applyBorder="1"/>
    <xf numFmtId="0" fontId="15" fillId="0" borderId="0" xfId="0" applyFont="1" applyFill="1" applyBorder="1" applyAlignment="1">
      <alignment horizontal="right" vertical="top" wrapText="1"/>
    </xf>
    <xf numFmtId="166" fontId="7" fillId="0" borderId="0" xfId="0" applyNumberFormat="1" applyFont="1" applyBorder="1"/>
    <xf numFmtId="4" fontId="7" fillId="0" borderId="0" xfId="0" applyNumberFormat="1" applyFont="1"/>
    <xf numFmtId="0" fontId="20" fillId="0" borderId="0" xfId="0" applyFont="1" applyFill="1" applyBorder="1" applyAlignment="1">
      <alignment horizontal="center" vertical="top" wrapText="1"/>
    </xf>
    <xf numFmtId="166" fontId="19" fillId="0" borderId="0" xfId="0" applyNumberFormat="1" applyFont="1" applyBorder="1"/>
    <xf numFmtId="168" fontId="7" fillId="0" borderId="1" xfId="0" applyNumberFormat="1" applyFont="1" applyBorder="1"/>
    <xf numFmtId="4" fontId="17" fillId="0" borderId="0" xfId="0" applyNumberFormat="1" applyFont="1"/>
    <xf numFmtId="166" fontId="17" fillId="0" borderId="0" xfId="0" applyNumberFormat="1" applyFont="1" applyBorder="1"/>
    <xf numFmtId="166" fontId="4" fillId="0" borderId="0" xfId="0" applyNumberFormat="1" applyFont="1" applyBorder="1"/>
    <xf numFmtId="0" fontId="14" fillId="0" borderId="1" xfId="0" applyFont="1" applyBorder="1" applyAlignment="1">
      <alignment horizontal="center"/>
    </xf>
    <xf numFmtId="4" fontId="12" fillId="3" borderId="2" xfId="0" applyNumberFormat="1" applyFont="1" applyFill="1" applyBorder="1"/>
    <xf numFmtId="4" fontId="4" fillId="0" borderId="1" xfId="0" applyNumberFormat="1" applyFont="1" applyBorder="1"/>
    <xf numFmtId="167" fontId="7" fillId="0" borderId="0" xfId="0" applyNumberFormat="1" applyFont="1" applyFill="1" applyBorder="1"/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4" fontId="0" fillId="0" borderId="1" xfId="0" applyNumberFormat="1" applyBorder="1"/>
    <xf numFmtId="4" fontId="6" fillId="0" borderId="1" xfId="0" applyNumberFormat="1" applyFont="1" applyFill="1" applyBorder="1"/>
    <xf numFmtId="4" fontId="12" fillId="2" borderId="1" xfId="0" applyNumberFormat="1" applyFont="1" applyFill="1" applyBorder="1"/>
    <xf numFmtId="4" fontId="7" fillId="0" borderId="1" xfId="0" applyNumberFormat="1" applyFont="1" applyFill="1" applyBorder="1"/>
    <xf numFmtId="0" fontId="6" fillId="0" borderId="1" xfId="0" applyFont="1" applyBorder="1" applyAlignment="1">
      <alignment horizontal="left" vertical="center" wrapText="1" indent="2"/>
    </xf>
    <xf numFmtId="0" fontId="21" fillId="0" borderId="1" xfId="0" applyFont="1" applyBorder="1" applyAlignment="1">
      <alignment horizontal="left" vertical="center" wrapText="1" indent="3"/>
    </xf>
    <xf numFmtId="0" fontId="21" fillId="0" borderId="1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top" wrapText="1" indent="3"/>
    </xf>
    <xf numFmtId="0" fontId="5" fillId="0" borderId="1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horizontal="left" vertical="top" wrapText="1" indent="3"/>
    </xf>
    <xf numFmtId="0" fontId="6" fillId="0" borderId="1" xfId="0" applyFont="1" applyBorder="1" applyAlignment="1">
      <alignment horizontal="left" vertical="center" wrapText="1" indent="3"/>
    </xf>
    <xf numFmtId="0" fontId="21" fillId="0" borderId="0" xfId="0" applyFont="1" applyAlignment="1">
      <alignment horizontal="left" wrapText="1" indent="4"/>
    </xf>
    <xf numFmtId="165" fontId="0" fillId="0" borderId="0" xfId="0" applyNumberFormat="1"/>
    <xf numFmtId="169" fontId="0" fillId="0" borderId="0" xfId="0" applyNumberFormat="1"/>
    <xf numFmtId="2" fontId="0" fillId="0" borderId="1" xfId="0" applyNumberForma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 indent="2"/>
    </xf>
    <xf numFmtId="0" fontId="23" fillId="0" borderId="3" xfId="0" applyFont="1" applyFill="1" applyBorder="1" applyAlignment="1">
      <alignment horizontal="left" vertical="center" wrapText="1" indent="1"/>
    </xf>
    <xf numFmtId="0" fontId="23" fillId="6" borderId="3" xfId="0" applyFont="1" applyFill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 indent="2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6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12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5" fillId="0" borderId="0" xfId="0" applyFont="1" applyAlignment="1">
      <alignment vertical="center"/>
    </xf>
    <xf numFmtId="2" fontId="22" fillId="0" borderId="1" xfId="0" applyNumberFormat="1" applyFont="1" applyBorder="1"/>
    <xf numFmtId="4" fontId="4" fillId="0" borderId="0" xfId="0" applyNumberFormat="1" applyFont="1"/>
    <xf numFmtId="0" fontId="0" fillId="0" borderId="0" xfId="0" applyBorder="1"/>
    <xf numFmtId="4" fontId="6" fillId="0" borderId="0" xfId="0" applyNumberFormat="1" applyFont="1" applyBorder="1"/>
    <xf numFmtId="165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right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Border="1"/>
    <xf numFmtId="165" fontId="11" fillId="3" borderId="1" xfId="0" applyNumberFormat="1" applyFont="1" applyFill="1" applyBorder="1"/>
    <xf numFmtId="165" fontId="7" fillId="3" borderId="1" xfId="0" applyNumberFormat="1" applyFont="1" applyFill="1" applyBorder="1"/>
    <xf numFmtId="165" fontId="11" fillId="0" borderId="1" xfId="0" applyNumberFormat="1" applyFont="1" applyFill="1" applyBorder="1"/>
    <xf numFmtId="166" fontId="6" fillId="0" borderId="1" xfId="0" applyNumberFormat="1" applyFont="1" applyFill="1" applyBorder="1"/>
    <xf numFmtId="0" fontId="21" fillId="0" borderId="1" xfId="0" applyFont="1" applyBorder="1" applyAlignment="1">
      <alignment horizontal="left" vertical="center" wrapText="1" indent="4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/>
    </xf>
    <xf numFmtId="167" fontId="6" fillId="0" borderId="2" xfId="0" applyNumberFormat="1" applyFont="1" applyBorder="1"/>
    <xf numFmtId="0" fontId="6" fillId="0" borderId="1" xfId="0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5" borderId="3" xfId="0" applyFont="1" applyFill="1" applyBorder="1" applyAlignment="1">
      <alignment horizontal="left" vertical="center" wrapText="1" indent="2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/>
    <xf numFmtId="167" fontId="6" fillId="0" borderId="1" xfId="0" applyNumberFormat="1" applyFont="1" applyBorder="1"/>
    <xf numFmtId="0" fontId="22" fillId="0" borderId="1" xfId="0" applyNumberFormat="1" applyFont="1" applyFill="1" applyBorder="1" applyAlignment="1">
      <alignment vertical="top"/>
    </xf>
    <xf numFmtId="0" fontId="22" fillId="0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22" fillId="0" borderId="1" xfId="0" applyFont="1" applyBorder="1" applyAlignment="1">
      <alignment vertical="top" wrapText="1"/>
    </xf>
    <xf numFmtId="165" fontId="22" fillId="0" borderId="1" xfId="0" applyNumberFormat="1" applyFont="1" applyBorder="1" applyAlignment="1">
      <alignment vertical="top"/>
    </xf>
    <xf numFmtId="4" fontId="22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165" fontId="0" fillId="0" borderId="1" xfId="0" applyNumberFormat="1" applyFont="1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65" fontId="0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165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22" fillId="0" borderId="1" xfId="0" applyFont="1" applyFill="1" applyBorder="1" applyAlignment="1">
      <alignment vertical="top" wrapText="1"/>
    </xf>
    <xf numFmtId="165" fontId="22" fillId="0" borderId="1" xfId="0" applyNumberFormat="1" applyFont="1" applyFill="1" applyBorder="1" applyAlignment="1">
      <alignment vertical="top"/>
    </xf>
    <xf numFmtId="4" fontId="22" fillId="0" borderId="1" xfId="0" applyNumberFormat="1" applyFont="1" applyFill="1" applyBorder="1" applyAlignment="1">
      <alignment vertical="top"/>
    </xf>
    <xf numFmtId="165" fontId="0" fillId="0" borderId="1" xfId="0" applyNumberFormat="1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165" fontId="27" fillId="0" borderId="1" xfId="0" applyNumberFormat="1" applyFont="1" applyBorder="1" applyAlignment="1">
      <alignment vertical="top"/>
    </xf>
    <xf numFmtId="4" fontId="27" fillId="0" borderId="1" xfId="0" applyNumberFormat="1" applyFont="1" applyBorder="1" applyAlignment="1">
      <alignment vertical="top"/>
    </xf>
    <xf numFmtId="0" fontId="22" fillId="0" borderId="1" xfId="0" applyFont="1" applyBorder="1" applyAlignment="1">
      <alignment vertical="top"/>
    </xf>
    <xf numFmtId="0" fontId="28" fillId="0" borderId="1" xfId="0" applyFont="1" applyBorder="1" applyAlignment="1">
      <alignment vertical="top" wrapText="1"/>
    </xf>
    <xf numFmtId="0" fontId="29" fillId="0" borderId="0" xfId="0" applyFont="1" applyAlignment="1">
      <alignment horizontal="right"/>
    </xf>
    <xf numFmtId="0" fontId="23" fillId="5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2" fontId="6" fillId="0" borderId="3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tabSelected="1" zoomScaleNormal="100" workbookViewId="0">
      <selection sqref="A1:D127"/>
    </sheetView>
  </sheetViews>
  <sheetFormatPr defaultRowHeight="15" x14ac:dyDescent="0.25"/>
  <cols>
    <col min="1" max="1" width="68.140625" style="1" customWidth="1"/>
    <col min="2" max="2" width="13" style="2" hidden="1" customWidth="1"/>
    <col min="3" max="4" width="21.5703125" style="2" customWidth="1"/>
    <col min="5" max="5" width="20.140625" style="2" customWidth="1"/>
    <col min="6" max="6" width="18.28515625" style="2" customWidth="1"/>
    <col min="7" max="7" width="18.140625" style="1" customWidth="1"/>
    <col min="8" max="8" width="13" style="1" customWidth="1"/>
    <col min="9" max="9" width="10.85546875" style="1" customWidth="1"/>
    <col min="10" max="12" width="9.140625" style="1" customWidth="1"/>
    <col min="13" max="16384" width="9.140625" style="1"/>
  </cols>
  <sheetData>
    <row r="1" spans="1:10" ht="28.5" customHeight="1" x14ac:dyDescent="0.25">
      <c r="A1" s="165" t="s">
        <v>46</v>
      </c>
      <c r="B1" s="165"/>
      <c r="C1" s="165"/>
      <c r="D1" s="165"/>
    </row>
    <row r="2" spans="1:10" ht="25.5" customHeight="1" x14ac:dyDescent="0.25">
      <c r="A2" s="154" t="s">
        <v>185</v>
      </c>
      <c r="B2" s="154"/>
      <c r="C2" s="154"/>
      <c r="D2" s="154"/>
      <c r="E2" s="164"/>
      <c r="F2" s="22"/>
    </row>
    <row r="3" spans="1:10" ht="21.75" customHeight="1" x14ac:dyDescent="0.25">
      <c r="A3" s="155" t="s">
        <v>184</v>
      </c>
      <c r="B3" s="155"/>
      <c r="C3" s="155"/>
      <c r="D3" s="155"/>
      <c r="E3" s="166"/>
      <c r="F3" s="22"/>
    </row>
    <row r="4" spans="1:10" ht="25.5" customHeight="1" x14ac:dyDescent="0.25">
      <c r="A4" s="61" t="s">
        <v>1</v>
      </c>
      <c r="B4" s="167" t="str">
        <f>тариф!B2</f>
        <v>Тимирязева, 35/1/2/3/4</v>
      </c>
      <c r="C4" s="169" t="s">
        <v>186</v>
      </c>
      <c r="D4" s="169"/>
      <c r="E4" s="168"/>
      <c r="F4" s="27"/>
    </row>
    <row r="5" spans="1:10" ht="25.5" customHeight="1" x14ac:dyDescent="0.25">
      <c r="A5" s="159" t="s">
        <v>30</v>
      </c>
      <c r="B5" s="162" t="s">
        <v>43</v>
      </c>
      <c r="C5" s="163"/>
      <c r="D5" s="54" t="s">
        <v>44</v>
      </c>
      <c r="E5" s="54" t="s">
        <v>68</v>
      </c>
    </row>
    <row r="6" spans="1:10" ht="21.75" customHeight="1" x14ac:dyDescent="0.25">
      <c r="A6" s="160"/>
      <c r="B6" s="26" t="s">
        <v>42</v>
      </c>
      <c r="C6" s="26" t="s">
        <v>41</v>
      </c>
      <c r="D6" s="26" t="s">
        <v>41</v>
      </c>
      <c r="E6" s="26"/>
      <c r="F6" s="28"/>
      <c r="G6" s="99"/>
    </row>
    <row r="7" spans="1:10" ht="15.75" x14ac:dyDescent="0.25">
      <c r="A7" s="161"/>
      <c r="B7" s="37" t="s">
        <v>33</v>
      </c>
      <c r="C7" s="37" t="s">
        <v>33</v>
      </c>
      <c r="D7" s="37" t="s">
        <v>33</v>
      </c>
      <c r="E7" s="37" t="s">
        <v>33</v>
      </c>
      <c r="F7" s="23"/>
      <c r="G7" s="99"/>
    </row>
    <row r="8" spans="1:10" ht="15.75" hidden="1" x14ac:dyDescent="0.25">
      <c r="A8" s="58">
        <v>1</v>
      </c>
      <c r="B8" s="59">
        <v>2</v>
      </c>
      <c r="C8" s="59">
        <v>3</v>
      </c>
      <c r="D8" s="59">
        <v>4</v>
      </c>
      <c r="E8" s="59">
        <v>5</v>
      </c>
      <c r="F8" s="23"/>
      <c r="G8" s="116" t="s">
        <v>148</v>
      </c>
    </row>
    <row r="9" spans="1:10" ht="17.25" customHeight="1" x14ac:dyDescent="0.25">
      <c r="A9" s="31" t="s">
        <v>2</v>
      </c>
      <c r="B9" s="17"/>
      <c r="C9" s="17">
        <f>C10+C15+C20+C25+C30</f>
        <v>39619.891767408008</v>
      </c>
      <c r="D9" s="17">
        <f t="shared" ref="D9" si="0">D10+D15+D20+D25+D30</f>
        <v>97358</v>
      </c>
      <c r="E9" s="17">
        <f>C9-D9</f>
        <v>-57738.108232591992</v>
      </c>
      <c r="F9" s="100"/>
      <c r="G9" s="123">
        <v>1.1000000000000001</v>
      </c>
    </row>
    <row r="10" spans="1:10" ht="65.25" customHeight="1" x14ac:dyDescent="0.25">
      <c r="A10" s="33" t="s">
        <v>146</v>
      </c>
      <c r="B10" s="38"/>
      <c r="C10" s="38">
        <f>'тариф 01.10.21'!C4*3+тариф!C6*9</f>
        <v>3477.4986490200004</v>
      </c>
      <c r="D10" s="38">
        <v>27008</v>
      </c>
      <c r="E10" s="17">
        <f>C10-D10</f>
        <v>-23530.501350980001</v>
      </c>
      <c r="F10" s="24"/>
      <c r="G10" s="1" t="s">
        <v>134</v>
      </c>
      <c r="H10" s="1" t="s">
        <v>135</v>
      </c>
    </row>
    <row r="11" spans="1:10" ht="16.5" hidden="1" customHeight="1" x14ac:dyDescent="0.25">
      <c r="A11" s="39" t="s">
        <v>35</v>
      </c>
      <c r="B11" s="38"/>
      <c r="C11" s="38"/>
      <c r="D11" s="38"/>
      <c r="E11" s="17"/>
      <c r="F11" s="24">
        <f>G14+H14</f>
        <v>1311.1945523820002</v>
      </c>
      <c r="G11" s="20">
        <v>20387</v>
      </c>
      <c r="H11" s="1">
        <v>22182</v>
      </c>
      <c r="J11" s="20"/>
    </row>
    <row r="12" spans="1:10" ht="14.25" hidden="1" customHeight="1" x14ac:dyDescent="0.25">
      <c r="A12" s="39" t="s">
        <v>36</v>
      </c>
      <c r="B12" s="38"/>
      <c r="C12" s="38"/>
      <c r="D12" s="38"/>
      <c r="E12" s="17"/>
      <c r="F12" s="24">
        <f>F11*0.302</f>
        <v>395.98075481936405</v>
      </c>
      <c r="G12" s="75">
        <f>(('ТХ дома'!B7+'ТХ дома'!B28*0.5)*0.0111/1000)*G9</f>
        <v>4.2081765000000007E-2</v>
      </c>
      <c r="H12" s="75">
        <f>(('ТХ дома'!B7+'ТХ дома'!B28*0.5)*0.00539/1000)*G9</f>
        <v>2.0434298500000003E-2</v>
      </c>
      <c r="I12" s="76"/>
    </row>
    <row r="13" spans="1:10" ht="14.25" hidden="1" customHeight="1" x14ac:dyDescent="0.25">
      <c r="A13" s="39" t="s">
        <v>37</v>
      </c>
      <c r="B13" s="38"/>
      <c r="C13" s="38"/>
      <c r="D13" s="38"/>
      <c r="E13" s="17"/>
      <c r="F13" s="98"/>
      <c r="G13" s="75">
        <f>G12*0.109</f>
        <v>4.5869123850000009E-3</v>
      </c>
      <c r="H13" s="75">
        <f>H12*0.1339</f>
        <v>2.7361525691500001E-3</v>
      </c>
    </row>
    <row r="14" spans="1:10" ht="14.25" hidden="1" customHeight="1" x14ac:dyDescent="0.25">
      <c r="A14" s="39" t="s">
        <v>0</v>
      </c>
      <c r="B14" s="38"/>
      <c r="C14" s="38"/>
      <c r="D14" s="38"/>
      <c r="E14" s="17"/>
      <c r="F14" s="24"/>
      <c r="G14" s="97">
        <f>G11*G12</f>
        <v>857.92094305500018</v>
      </c>
      <c r="H14" s="97">
        <f>H11*H12</f>
        <v>453.27360932700009</v>
      </c>
    </row>
    <row r="15" spans="1:10" ht="33" customHeight="1" x14ac:dyDescent="0.25">
      <c r="A15" s="33" t="s">
        <v>4</v>
      </c>
      <c r="B15" s="38"/>
      <c r="C15" s="38">
        <f>'тариф 01.10.21'!C5*3+тариф!C7*9</f>
        <v>12009.665769300002</v>
      </c>
      <c r="D15" s="38">
        <f>SUM(D16:D19)</f>
        <v>0</v>
      </c>
      <c r="E15" s="17">
        <f>C15-D15</f>
        <v>12009.665769300002</v>
      </c>
      <c r="F15" s="24"/>
      <c r="G15" s="1" t="s">
        <v>131</v>
      </c>
      <c r="H15" s="1" t="s">
        <v>132</v>
      </c>
      <c r="I15" s="1" t="s">
        <v>133</v>
      </c>
    </row>
    <row r="16" spans="1:10" ht="14.25" hidden="1" customHeight="1" x14ac:dyDescent="0.25">
      <c r="A16" s="40" t="s">
        <v>35</v>
      </c>
      <c r="B16" s="38"/>
      <c r="C16" s="38"/>
      <c r="D16" s="38"/>
      <c r="E16" s="17"/>
      <c r="F16" s="2">
        <f>G19+H19</f>
        <v>1925.1810381375003</v>
      </c>
      <c r="G16" s="1">
        <v>22182</v>
      </c>
      <c r="H16" s="1">
        <v>20387</v>
      </c>
      <c r="I16" s="1">
        <v>17438</v>
      </c>
    </row>
    <row r="17" spans="1:9" ht="14.25" hidden="1" customHeight="1" x14ac:dyDescent="0.25">
      <c r="A17" s="40" t="s">
        <v>36</v>
      </c>
      <c r="B17" s="38"/>
      <c r="C17" s="38"/>
      <c r="D17" s="38"/>
      <c r="E17" s="17"/>
      <c r="F17" s="24">
        <f>F16*0.302</f>
        <v>581.40467351752511</v>
      </c>
      <c r="G17" s="75">
        <f>(('ТХ дома'!B7+'ТХ дома'!B28*0.5)*0.0018/1000)*G9</f>
        <v>6.8240699999999998E-3</v>
      </c>
      <c r="H17" s="75">
        <f>(('ТХ дома'!B7+'ТХ дома'!B28*0.5)*0.02295/1000)*G9</f>
        <v>8.7006892500000016E-2</v>
      </c>
      <c r="I17" s="75">
        <f>('ТХ дома'!B7+'ТХ дома'!B28*0.5)*0.02295/1000*G9</f>
        <v>8.7006892500000016E-2</v>
      </c>
    </row>
    <row r="18" spans="1:9" ht="14.25" hidden="1" customHeight="1" x14ac:dyDescent="0.25">
      <c r="A18" s="40" t="s">
        <v>37</v>
      </c>
      <c r="B18" s="38"/>
      <c r="C18" s="38"/>
      <c r="D18" s="38"/>
      <c r="E18" s="17"/>
      <c r="F18" s="24"/>
      <c r="G18" s="75">
        <f>G17*0.5079</f>
        <v>3.465945153E-3</v>
      </c>
      <c r="H18" s="75">
        <f>H17*0.2671</f>
        <v>2.3239540986750004E-2</v>
      </c>
      <c r="I18" s="20"/>
    </row>
    <row r="19" spans="1:9" ht="14.25" hidden="1" customHeight="1" x14ac:dyDescent="0.25">
      <c r="A19" s="40" t="s">
        <v>0</v>
      </c>
      <c r="B19" s="38"/>
      <c r="C19" s="38"/>
      <c r="D19" s="38"/>
      <c r="E19" s="17"/>
      <c r="F19" s="24"/>
      <c r="G19" s="97">
        <f>G16*G17</f>
        <v>151.37152073999999</v>
      </c>
      <c r="H19" s="97">
        <f>H16*H17</f>
        <v>1773.8095173975003</v>
      </c>
      <c r="I19" s="77"/>
    </row>
    <row r="20" spans="1:9" ht="48.75" customHeight="1" x14ac:dyDescent="0.25">
      <c r="A20" s="33" t="s">
        <v>5</v>
      </c>
      <c r="B20" s="38"/>
      <c r="C20" s="38">
        <f>'тариф 01.10.21'!C6*3+тариф!C8*9</f>
        <v>1623.9297039600001</v>
      </c>
      <c r="D20" s="38">
        <v>70350</v>
      </c>
      <c r="E20" s="17">
        <f>C20-D20</f>
        <v>-68726.070296039994</v>
      </c>
      <c r="F20" s="24"/>
      <c r="G20" s="1" t="s">
        <v>130</v>
      </c>
    </row>
    <row r="21" spans="1:9" ht="15.75" hidden="1" x14ac:dyDescent="0.25">
      <c r="A21" s="40" t="s">
        <v>35</v>
      </c>
      <c r="B21" s="38"/>
      <c r="C21" s="38"/>
      <c r="D21" s="38"/>
      <c r="E21" s="17"/>
      <c r="F21" s="2">
        <f>G24</f>
        <v>686.33675444400012</v>
      </c>
      <c r="G21" s="1">
        <v>20387</v>
      </c>
    </row>
    <row r="22" spans="1:9" ht="15.75" hidden="1" x14ac:dyDescent="0.25">
      <c r="A22" s="40" t="s">
        <v>36</v>
      </c>
      <c r="B22" s="38"/>
      <c r="C22" s="38"/>
      <c r="D22" s="38"/>
      <c r="E22" s="17"/>
      <c r="F22" s="24">
        <f>F21*0.302</f>
        <v>207.27369984208804</v>
      </c>
      <c r="G22" s="75">
        <f>(('ТХ дома'!B7+'ТХ дома'!B28*0.5)*0.00888/1000)*G9</f>
        <v>3.3665412000000006E-2</v>
      </c>
    </row>
    <row r="23" spans="1:9" ht="15.75" hidden="1" x14ac:dyDescent="0.25">
      <c r="A23" s="40" t="s">
        <v>37</v>
      </c>
      <c r="B23" s="38"/>
      <c r="C23" s="38"/>
      <c r="D23" s="38"/>
      <c r="E23" s="17"/>
      <c r="F23" s="24"/>
      <c r="G23" s="75">
        <f>G22*0.1192</f>
        <v>4.0129171104000003E-3</v>
      </c>
      <c r="H23" s="2"/>
    </row>
    <row r="24" spans="1:9" ht="15.75" hidden="1" x14ac:dyDescent="0.25">
      <c r="A24" s="40" t="s">
        <v>0</v>
      </c>
      <c r="B24" s="38"/>
      <c r="C24" s="38"/>
      <c r="D24" s="38"/>
      <c r="E24" s="17"/>
      <c r="F24" s="24"/>
      <c r="G24" s="97">
        <f>G21*G22</f>
        <v>686.33675444400012</v>
      </c>
    </row>
    <row r="25" spans="1:9" ht="15.75" x14ac:dyDescent="0.25">
      <c r="A25" s="33" t="s">
        <v>6</v>
      </c>
      <c r="B25" s="38"/>
      <c r="C25" s="38">
        <f>'тариф 01.10.21'!C7*3+тариф!C9*9</f>
        <v>9192.6322800239996</v>
      </c>
      <c r="D25" s="38">
        <f>SUM(D26:D29)</f>
        <v>0</v>
      </c>
      <c r="E25" s="17">
        <f>C25-D25</f>
        <v>9192.6322800239996</v>
      </c>
      <c r="F25" s="24"/>
      <c r="G25" s="1" t="s">
        <v>91</v>
      </c>
    </row>
    <row r="26" spans="1:9" ht="15.75" hidden="1" x14ac:dyDescent="0.25">
      <c r="A26" s="40" t="s">
        <v>35</v>
      </c>
      <c r="B26" s="38"/>
      <c r="C26" s="38"/>
      <c r="D26" s="38"/>
      <c r="E26" s="17"/>
      <c r="F26" s="24">
        <f>G28</f>
        <v>281.95184364599999</v>
      </c>
      <c r="G26" s="1">
        <v>12822</v>
      </c>
    </row>
    <row r="27" spans="1:9" ht="15.75" hidden="1" x14ac:dyDescent="0.25">
      <c r="A27" s="40" t="s">
        <v>36</v>
      </c>
      <c r="B27" s="38"/>
      <c r="C27" s="38"/>
      <c r="D27" s="38"/>
      <c r="E27" s="17"/>
      <c r="F27" s="24">
        <f>F26*0.302</f>
        <v>85.149456781091999</v>
      </c>
      <c r="G27" s="75">
        <f>('ТХ дома'!B27*0.0263/1000)*G9</f>
        <v>2.1989693000000001E-2</v>
      </c>
    </row>
    <row r="28" spans="1:9" ht="15.75" hidden="1" x14ac:dyDescent="0.25">
      <c r="A28" s="40" t="s">
        <v>37</v>
      </c>
      <c r="B28" s="38"/>
      <c r="C28" s="38"/>
      <c r="D28" s="38"/>
      <c r="E28" s="17"/>
      <c r="F28" s="24"/>
      <c r="G28" s="97">
        <f>G26*G27</f>
        <v>281.95184364599999</v>
      </c>
      <c r="H28" s="2"/>
    </row>
    <row r="29" spans="1:9" ht="15.75" hidden="1" x14ac:dyDescent="0.25">
      <c r="A29" s="40" t="s">
        <v>0</v>
      </c>
      <c r="B29" s="38"/>
      <c r="C29" s="38"/>
      <c r="D29" s="38"/>
      <c r="E29" s="17"/>
      <c r="F29" s="24"/>
    </row>
    <row r="30" spans="1:9" ht="17.25" customHeight="1" x14ac:dyDescent="0.25">
      <c r="A30" s="33" t="s">
        <v>7</v>
      </c>
      <c r="B30" s="38"/>
      <c r="C30" s="38">
        <f>'тариф 01.10.21'!C8*3+тариф!C10*9</f>
        <v>13316.165365104001</v>
      </c>
      <c r="D30" s="38">
        <f>SUM(D31:D34)</f>
        <v>0</v>
      </c>
      <c r="E30" s="17">
        <f>C30-D30</f>
        <v>13316.165365104001</v>
      </c>
      <c r="F30" s="24"/>
      <c r="G30" s="1" t="s">
        <v>136</v>
      </c>
    </row>
    <row r="31" spans="1:9" ht="15.75" hidden="1" x14ac:dyDescent="0.25">
      <c r="A31" s="40" t="s">
        <v>35</v>
      </c>
      <c r="B31" s="38"/>
      <c r="C31" s="38"/>
      <c r="D31" s="38"/>
      <c r="E31" s="17"/>
      <c r="F31" s="24">
        <f>G34</f>
        <v>240.61931566078567</v>
      </c>
      <c r="G31" s="1">
        <v>20387</v>
      </c>
    </row>
    <row r="32" spans="1:9" ht="15.75" hidden="1" x14ac:dyDescent="0.25">
      <c r="A32" s="40" t="s">
        <v>36</v>
      </c>
      <c r="B32" s="38"/>
      <c r="C32" s="38"/>
      <c r="D32" s="38"/>
      <c r="E32" s="17"/>
      <c r="F32" s="24">
        <f>F31*0.302</f>
        <v>72.66703332955727</v>
      </c>
      <c r="G32" s="75">
        <f>('ТХ дома'!B21/1000*0.0763)*G9</f>
        <v>7.6342728000000026E-2</v>
      </c>
    </row>
    <row r="33" spans="1:8" ht="15.75" hidden="1" customHeight="1" x14ac:dyDescent="0.25">
      <c r="A33" s="40" t="s">
        <v>37</v>
      </c>
      <c r="B33" s="38"/>
      <c r="C33" s="38"/>
      <c r="D33" s="38"/>
      <c r="E33" s="17"/>
      <c r="F33" s="24"/>
      <c r="G33" s="75">
        <f>G32*0.1546</f>
        <v>1.1802585748800004E-2</v>
      </c>
      <c r="H33" s="2"/>
    </row>
    <row r="34" spans="1:8" ht="15.75" hidden="1" x14ac:dyDescent="0.25">
      <c r="A34" s="40" t="s">
        <v>0</v>
      </c>
      <c r="B34" s="38"/>
      <c r="C34" s="38"/>
      <c r="D34" s="38"/>
      <c r="E34" s="17"/>
      <c r="F34" s="24"/>
      <c r="G34" s="97">
        <f>G31*G33</f>
        <v>240.61931566078567</v>
      </c>
    </row>
    <row r="35" spans="1:8" ht="31.5" x14ac:dyDescent="0.25">
      <c r="A35" s="31" t="s">
        <v>8</v>
      </c>
      <c r="B35" s="17"/>
      <c r="C35" s="17">
        <f t="shared" ref="C35" si="1">C36+C41+C46+C51+C56+C58+C60+C62</f>
        <v>87569.768263800011</v>
      </c>
      <c r="D35" s="17">
        <f>D36+D41+D46+D51+D56+D58+D60+D62</f>
        <v>28094</v>
      </c>
      <c r="E35" s="17">
        <f>C35-D35</f>
        <v>59475.768263800011</v>
      </c>
      <c r="F35" s="100"/>
      <c r="G35" s="100"/>
    </row>
    <row r="36" spans="1:8" ht="31.5" customHeight="1" x14ac:dyDescent="0.25">
      <c r="A36" s="33" t="s">
        <v>9</v>
      </c>
      <c r="B36" s="38"/>
      <c r="C36" s="38">
        <f>'тариф 01.10.21'!C10*3+тариф!C13*9</f>
        <v>43728.456880800004</v>
      </c>
      <c r="D36" s="38">
        <v>9666</v>
      </c>
      <c r="E36" s="17">
        <f>C36-D36</f>
        <v>34062.456880800004</v>
      </c>
      <c r="F36" s="24"/>
      <c r="G36" s="102" t="s">
        <v>137</v>
      </c>
      <c r="H36" s="1" t="s">
        <v>138</v>
      </c>
    </row>
    <row r="37" spans="1:8" ht="15.75" hidden="1" x14ac:dyDescent="0.25">
      <c r="A37" s="40" t="s">
        <v>35</v>
      </c>
      <c r="B37" s="38"/>
      <c r="C37" s="38"/>
      <c r="D37" s="38"/>
      <c r="E37" s="17"/>
      <c r="F37" s="24">
        <f>G40+H40</f>
        <v>5033.1040542378469</v>
      </c>
      <c r="G37" s="1">
        <v>23336</v>
      </c>
      <c r="H37" s="1">
        <v>23336</v>
      </c>
    </row>
    <row r="38" spans="1:8" ht="15.75" hidden="1" x14ac:dyDescent="0.25">
      <c r="A38" s="40" t="s">
        <v>36</v>
      </c>
      <c r="B38" s="38"/>
      <c r="C38" s="38"/>
      <c r="D38" s="38"/>
      <c r="E38" s="17"/>
      <c r="F38" s="24">
        <f>F37*0.302</f>
        <v>1519.9974243798297</v>
      </c>
      <c r="G38" s="75">
        <f>'ТХ дома'!B14/325</f>
        <v>0.15384615384615385</v>
      </c>
      <c r="H38" s="75">
        <f>(('ТХ дома'!B7+'ТХ дома'!B28*0.5)*0.01631/1000)*G9</f>
        <v>6.1833656500000014E-2</v>
      </c>
    </row>
    <row r="39" spans="1:8" ht="15.75" hidden="1" x14ac:dyDescent="0.25">
      <c r="A39" s="40" t="s">
        <v>37</v>
      </c>
      <c r="B39" s="38"/>
      <c r="C39" s="38"/>
      <c r="D39" s="38"/>
      <c r="E39" s="17"/>
      <c r="F39" s="24"/>
      <c r="G39" s="75">
        <f>G38*0.312746</f>
        <v>4.8114769230769239E-2</v>
      </c>
      <c r="H39" s="21">
        <f>H38*0.1819</f>
        <v>1.1247542117350002E-2</v>
      </c>
    </row>
    <row r="40" spans="1:8" ht="15.75" hidden="1" x14ac:dyDescent="0.25">
      <c r="A40" s="40" t="s">
        <v>0</v>
      </c>
      <c r="B40" s="38"/>
      <c r="C40" s="38"/>
      <c r="D40" s="38"/>
      <c r="E40" s="17"/>
      <c r="F40" s="24"/>
      <c r="G40" s="97">
        <f>G37*G38</f>
        <v>3590.1538461538462</v>
      </c>
      <c r="H40" s="97">
        <f>H37*H38</f>
        <v>1442.9502080840002</v>
      </c>
    </row>
    <row r="41" spans="1:8" ht="18" customHeight="1" x14ac:dyDescent="0.25">
      <c r="A41" s="33" t="s">
        <v>10</v>
      </c>
      <c r="B41" s="38"/>
      <c r="C41" s="38">
        <f>'тариф 01.10.21'!C11*3+тариф!C14*9</f>
        <v>14775.6157848</v>
      </c>
      <c r="D41" s="38">
        <f>SUM(D42:D45)</f>
        <v>0</v>
      </c>
      <c r="E41" s="17">
        <f>C41-D41</f>
        <v>14775.6157848</v>
      </c>
      <c r="F41" s="24"/>
      <c r="G41" s="1" t="s">
        <v>137</v>
      </c>
      <c r="H41" s="1" t="s">
        <v>138</v>
      </c>
    </row>
    <row r="42" spans="1:8" ht="15.75" hidden="1" x14ac:dyDescent="0.25">
      <c r="A42" s="40" t="s">
        <v>35</v>
      </c>
      <c r="B42" s="38"/>
      <c r="C42" s="38"/>
      <c r="D42" s="38"/>
      <c r="E42" s="17"/>
      <c r="F42" s="24">
        <f>G45</f>
        <v>2173.7168648648649</v>
      </c>
      <c r="G42" s="1">
        <v>23336</v>
      </c>
      <c r="H42" s="1">
        <v>23336</v>
      </c>
    </row>
    <row r="43" spans="1:8" ht="14.25" hidden="1" customHeight="1" x14ac:dyDescent="0.25">
      <c r="A43" s="40" t="s">
        <v>36</v>
      </c>
      <c r="B43" s="38"/>
      <c r="C43" s="38"/>
      <c r="D43" s="38"/>
      <c r="E43" s="17"/>
      <c r="F43" s="24">
        <f>F42*0.302</f>
        <v>656.46249318918922</v>
      </c>
      <c r="G43" s="75">
        <f>('ТХ дома'!B7+'ТХ дома'!B28*0.5)/37000</f>
        <v>9.3148648648648649E-2</v>
      </c>
    </row>
    <row r="44" spans="1:8" ht="14.25" hidden="1" customHeight="1" x14ac:dyDescent="0.25">
      <c r="A44" s="40" t="s">
        <v>37</v>
      </c>
      <c r="B44" s="38"/>
      <c r="C44" s="38"/>
      <c r="D44" s="38"/>
      <c r="E44" s="17"/>
      <c r="F44" s="24"/>
      <c r="G44" s="75">
        <f>G43*0.3127</f>
        <v>2.9127582432432429E-2</v>
      </c>
    </row>
    <row r="45" spans="1:8" ht="15.75" hidden="1" x14ac:dyDescent="0.25">
      <c r="A45" s="40" t="s">
        <v>0</v>
      </c>
      <c r="B45" s="38"/>
      <c r="C45" s="38"/>
      <c r="D45" s="38"/>
      <c r="E45" s="17"/>
      <c r="F45" s="24"/>
      <c r="G45" s="77">
        <f>G42*G43</f>
        <v>2173.7168648648649</v>
      </c>
    </row>
    <row r="46" spans="1:8" ht="15.75" x14ac:dyDescent="0.25">
      <c r="A46" s="33" t="s">
        <v>11</v>
      </c>
      <c r="B46" s="38"/>
      <c r="C46" s="38">
        <f>'тариф 01.10.21'!C12*3+тариф!C15*9</f>
        <v>10312.426379999999</v>
      </c>
      <c r="D46" s="38">
        <f>4827+1301</f>
        <v>6128</v>
      </c>
      <c r="E46" s="17">
        <f>C46-D46</f>
        <v>4184.426379999999</v>
      </c>
      <c r="F46" s="24"/>
      <c r="G46" s="1" t="s">
        <v>139</v>
      </c>
    </row>
    <row r="47" spans="1:8" ht="15.75" hidden="1" x14ac:dyDescent="0.25">
      <c r="A47" s="40" t="s">
        <v>35</v>
      </c>
      <c r="B47" s="38"/>
      <c r="C47" s="38"/>
      <c r="D47" s="38"/>
      <c r="E47" s="17"/>
      <c r="F47" s="24">
        <f>G49</f>
        <v>504.13636363636363</v>
      </c>
      <c r="G47" s="1">
        <v>22182</v>
      </c>
    </row>
    <row r="48" spans="1:8" ht="15.75" hidden="1" x14ac:dyDescent="0.25">
      <c r="A48" s="40" t="s">
        <v>36</v>
      </c>
      <c r="B48" s="38"/>
      <c r="C48" s="38"/>
      <c r="D48" s="38"/>
      <c r="E48" s="17"/>
      <c r="F48" s="24">
        <f>F47*0.302</f>
        <v>152.2491818181818</v>
      </c>
      <c r="G48" s="75">
        <f>'ТХ дома'!B16/2200</f>
        <v>2.2727272727272728E-2</v>
      </c>
    </row>
    <row r="49" spans="1:7" ht="15.75" hidden="1" x14ac:dyDescent="0.25">
      <c r="A49" s="40" t="s">
        <v>37</v>
      </c>
      <c r="B49" s="38"/>
      <c r="C49" s="38"/>
      <c r="D49" s="38"/>
      <c r="E49" s="17"/>
      <c r="F49" s="24"/>
      <c r="G49" s="77">
        <f>G47*G48</f>
        <v>504.13636363636363</v>
      </c>
    </row>
    <row r="50" spans="1:7" ht="15.75" hidden="1" x14ac:dyDescent="0.25">
      <c r="A50" s="40" t="s">
        <v>0</v>
      </c>
      <c r="B50" s="38"/>
      <c r="C50" s="38"/>
      <c r="D50" s="38"/>
      <c r="E50" s="17"/>
      <c r="F50" s="24"/>
    </row>
    <row r="51" spans="1:7" ht="16.5" customHeight="1" x14ac:dyDescent="0.25">
      <c r="A51" s="34" t="s">
        <v>12</v>
      </c>
      <c r="B51" s="38"/>
      <c r="C51" s="38">
        <f>'тариф 01.10.21'!C13*3+тариф!C16*9</f>
        <v>4790.1431682000002</v>
      </c>
      <c r="D51" s="38">
        <f>SUM(D52:D55)</f>
        <v>0</v>
      </c>
      <c r="E51" s="17">
        <f>C51-D51</f>
        <v>4790.1431682000002</v>
      </c>
      <c r="F51" s="24"/>
      <c r="G51" s="1" t="s">
        <v>140</v>
      </c>
    </row>
    <row r="52" spans="1:7" ht="15.75" hidden="1" x14ac:dyDescent="0.25">
      <c r="A52" s="40" t="s">
        <v>70</v>
      </c>
      <c r="B52" s="38"/>
      <c r="C52" s="38"/>
      <c r="D52" s="38"/>
      <c r="E52" s="17"/>
      <c r="F52" s="24">
        <f>G55</f>
        <v>887.28</v>
      </c>
      <c r="G52" s="1">
        <v>22182</v>
      </c>
    </row>
    <row r="53" spans="1:7" ht="15.75" hidden="1" x14ac:dyDescent="0.25">
      <c r="A53" s="40" t="s">
        <v>36</v>
      </c>
      <c r="B53" s="38"/>
      <c r="C53" s="38"/>
      <c r="D53" s="38"/>
      <c r="E53" s="17"/>
      <c r="F53" s="24">
        <f>F52*0.302</f>
        <v>267.95855999999998</v>
      </c>
      <c r="G53" s="1">
        <v>1250</v>
      </c>
    </row>
    <row r="54" spans="1:7" ht="15.75" hidden="1" x14ac:dyDescent="0.25">
      <c r="A54" s="40" t="s">
        <v>37</v>
      </c>
      <c r="B54" s="38"/>
      <c r="C54" s="38"/>
      <c r="D54" s="38"/>
      <c r="E54" s="17"/>
      <c r="F54" s="24"/>
      <c r="G54" s="1">
        <f>'ТХ дома'!B12/G53</f>
        <v>0.04</v>
      </c>
    </row>
    <row r="55" spans="1:7" ht="15.75" hidden="1" x14ac:dyDescent="0.25">
      <c r="A55" s="40" t="s">
        <v>0</v>
      </c>
      <c r="B55" s="38"/>
      <c r="C55" s="38"/>
      <c r="D55" s="38"/>
      <c r="E55" s="17"/>
      <c r="F55" s="24"/>
      <c r="G55" s="77">
        <f>G52*G54</f>
        <v>887.28</v>
      </c>
    </row>
    <row r="56" spans="1:7" ht="31.5" x14ac:dyDescent="0.25">
      <c r="A56" s="33" t="s">
        <v>13</v>
      </c>
      <c r="B56" s="38"/>
      <c r="C56" s="38">
        <f>C57</f>
        <v>0</v>
      </c>
      <c r="D56" s="38">
        <f>D57</f>
        <v>0</v>
      </c>
      <c r="E56" s="17">
        <f>C56-D56</f>
        <v>0</v>
      </c>
      <c r="F56" s="24"/>
    </row>
    <row r="57" spans="1:7" ht="15.75" hidden="1" x14ac:dyDescent="0.25">
      <c r="A57" s="41" t="s">
        <v>76</v>
      </c>
      <c r="B57" s="38"/>
      <c r="C57" s="38"/>
      <c r="D57" s="38"/>
      <c r="E57" s="17"/>
      <c r="F57" s="24"/>
    </row>
    <row r="58" spans="1:7" ht="31.5" x14ac:dyDescent="0.25">
      <c r="A58" s="33" t="s">
        <v>167</v>
      </c>
      <c r="B58" s="38"/>
      <c r="C58" s="38">
        <f>C59</f>
        <v>6521.939699999999</v>
      </c>
      <c r="D58" s="38">
        <f>D59</f>
        <v>0</v>
      </c>
      <c r="E58" s="17">
        <f>C58-D58</f>
        <v>6521.939699999999</v>
      </c>
      <c r="F58" s="24"/>
    </row>
    <row r="59" spans="1:7" ht="15.75" hidden="1" x14ac:dyDescent="0.25">
      <c r="A59" s="41" t="s">
        <v>39</v>
      </c>
      <c r="B59" s="38"/>
      <c r="C59" s="38">
        <f>'тариф 01.10.21'!C15*3</f>
        <v>6521.939699999999</v>
      </c>
      <c r="D59" s="38"/>
      <c r="E59" s="17"/>
      <c r="F59" s="24"/>
    </row>
    <row r="60" spans="1:7" ht="31.5" x14ac:dyDescent="0.25">
      <c r="A60" s="33" t="s">
        <v>168</v>
      </c>
      <c r="B60" s="38"/>
      <c r="C60" s="38">
        <f>C61</f>
        <v>0</v>
      </c>
      <c r="D60" s="38"/>
      <c r="E60" s="17"/>
      <c r="F60" s="24"/>
    </row>
    <row r="61" spans="1:7" ht="15.75" hidden="1" x14ac:dyDescent="0.25">
      <c r="A61" s="41" t="s">
        <v>39</v>
      </c>
      <c r="B61" s="38"/>
      <c r="C61" s="38"/>
      <c r="D61" s="38"/>
      <c r="E61" s="17"/>
      <c r="F61" s="24"/>
    </row>
    <row r="62" spans="1:7" ht="18.75" customHeight="1" x14ac:dyDescent="0.25">
      <c r="A62" s="34" t="s">
        <v>16</v>
      </c>
      <c r="B62" s="38"/>
      <c r="C62" s="38">
        <f>C63</f>
        <v>7441.1863500000009</v>
      </c>
      <c r="D62" s="38">
        <f>D63</f>
        <v>12300</v>
      </c>
      <c r="E62" s="17">
        <f>C62-D62</f>
        <v>-4858.8136499999991</v>
      </c>
      <c r="F62" s="24"/>
    </row>
    <row r="63" spans="1:7" ht="17.25" customHeight="1" x14ac:dyDescent="0.25">
      <c r="A63" s="42" t="s">
        <v>39</v>
      </c>
      <c r="B63" s="38"/>
      <c r="C63" s="38">
        <f>'тариф 01.10.21'!C17*3+тариф!C20*9</f>
        <v>7441.1863500000009</v>
      </c>
      <c r="D63" s="38">
        <v>12300</v>
      </c>
      <c r="E63" s="17"/>
      <c r="F63" s="24"/>
    </row>
    <row r="64" spans="1:7" ht="31.5" x14ac:dyDescent="0.25">
      <c r="A64" s="31" t="s">
        <v>17</v>
      </c>
      <c r="B64" s="18"/>
      <c r="C64" s="18">
        <f t="shared" ref="C64:D64" si="2">C65+C66+C71+C76+C81+C83</f>
        <v>206942.74889652</v>
      </c>
      <c r="D64" s="18">
        <f t="shared" si="2"/>
        <v>133591.10147280002</v>
      </c>
      <c r="E64" s="17">
        <f>C64-D64</f>
        <v>73351.647423719987</v>
      </c>
      <c r="F64" s="24"/>
      <c r="G64" s="29"/>
    </row>
    <row r="65" spans="1:7" ht="15.75" x14ac:dyDescent="0.25">
      <c r="A65" s="33" t="s">
        <v>18</v>
      </c>
      <c r="B65" s="50"/>
      <c r="C65" s="38"/>
      <c r="D65" s="38">
        <v>0</v>
      </c>
      <c r="E65" s="17">
        <f t="shared" ref="E65:E71" si="3">C65-D65</f>
        <v>0</v>
      </c>
      <c r="F65" s="24"/>
    </row>
    <row r="66" spans="1:7" ht="18" customHeight="1" x14ac:dyDescent="0.25">
      <c r="A66" s="33" t="s">
        <v>19</v>
      </c>
      <c r="B66" s="38"/>
      <c r="C66" s="38">
        <f>'тариф 01.10.21'!C22*3+тариф!C23*9</f>
        <v>69756.937542</v>
      </c>
      <c r="D66" s="38">
        <v>69756.937542</v>
      </c>
      <c r="E66" s="17">
        <f t="shared" si="3"/>
        <v>0</v>
      </c>
      <c r="F66" s="24"/>
      <c r="G66" s="1" t="s">
        <v>142</v>
      </c>
    </row>
    <row r="67" spans="1:7" ht="15.75" hidden="1" x14ac:dyDescent="0.25">
      <c r="A67" s="40" t="s">
        <v>144</v>
      </c>
      <c r="B67" s="38"/>
      <c r="C67" s="38"/>
      <c r="D67" s="38"/>
      <c r="E67" s="17"/>
      <c r="F67" s="24">
        <f>G69</f>
        <v>3722.0434285714282</v>
      </c>
      <c r="G67" s="1">
        <v>12822</v>
      </c>
    </row>
    <row r="68" spans="1:7" ht="15.75" hidden="1" x14ac:dyDescent="0.25">
      <c r="A68" s="40" t="s">
        <v>36</v>
      </c>
      <c r="B68" s="38"/>
      <c r="C68" s="38"/>
      <c r="D68" s="38"/>
      <c r="E68" s="17"/>
      <c r="F68" s="24">
        <f>F67*0.302</f>
        <v>1124.0571154285713</v>
      </c>
      <c r="G68" s="101">
        <f>'ТХ дома'!B30/5250</f>
        <v>0.29028571428571426</v>
      </c>
    </row>
    <row r="69" spans="1:7" ht="15.75" hidden="1" x14ac:dyDescent="0.25">
      <c r="A69" s="40" t="s">
        <v>37</v>
      </c>
      <c r="B69" s="38"/>
      <c r="C69" s="38"/>
      <c r="D69" s="38"/>
      <c r="E69" s="17"/>
      <c r="F69" s="24"/>
      <c r="G69" s="77">
        <f>G67*G68</f>
        <v>3722.0434285714282</v>
      </c>
    </row>
    <row r="70" spans="1:7" ht="15.75" hidden="1" x14ac:dyDescent="0.25">
      <c r="A70" s="40" t="s">
        <v>0</v>
      </c>
      <c r="B70" s="38"/>
      <c r="C70" s="38"/>
      <c r="D70" s="38"/>
      <c r="E70" s="17"/>
      <c r="F70" s="24"/>
    </row>
    <row r="71" spans="1:7" ht="15.75" x14ac:dyDescent="0.25">
      <c r="A71" s="33" t="s">
        <v>20</v>
      </c>
      <c r="B71" s="38"/>
      <c r="C71" s="38">
        <f>тариф!C24*9</f>
        <v>5686.8988500000005</v>
      </c>
      <c r="D71" s="38">
        <v>5686.8988500000005</v>
      </c>
      <c r="E71" s="17">
        <f t="shared" si="3"/>
        <v>0</v>
      </c>
      <c r="F71" s="24"/>
      <c r="G71" s="1" t="s">
        <v>142</v>
      </c>
    </row>
    <row r="72" spans="1:7" ht="15.75" hidden="1" x14ac:dyDescent="0.25">
      <c r="A72" s="41" t="s">
        <v>144</v>
      </c>
      <c r="B72" s="38"/>
      <c r="C72" s="38"/>
      <c r="D72" s="38"/>
      <c r="E72" s="17"/>
      <c r="F72" s="24">
        <f>G74</f>
        <v>398.41751072961375</v>
      </c>
      <c r="G72" s="1">
        <v>12822</v>
      </c>
    </row>
    <row r="73" spans="1:7" ht="15.75" hidden="1" x14ac:dyDescent="0.25">
      <c r="A73" s="41" t="s">
        <v>36</v>
      </c>
      <c r="B73" s="38"/>
      <c r="C73" s="38"/>
      <c r="D73" s="38"/>
      <c r="E73" s="17"/>
      <c r="F73" s="24">
        <f>F72*0.302</f>
        <v>120.32208824034335</v>
      </c>
      <c r="G73" s="75">
        <f>'ТХ дома'!B40/233</f>
        <v>3.1072961373390558E-2</v>
      </c>
    </row>
    <row r="74" spans="1:7" ht="15.75" hidden="1" x14ac:dyDescent="0.25">
      <c r="A74" s="41" t="s">
        <v>37</v>
      </c>
      <c r="B74" s="38"/>
      <c r="C74" s="38"/>
      <c r="D74" s="38"/>
      <c r="E74" s="17"/>
      <c r="F74" s="24"/>
      <c r="G74" s="77">
        <f>G72*G73</f>
        <v>398.41751072961375</v>
      </c>
    </row>
    <row r="75" spans="1:7" ht="15.75" hidden="1" x14ac:dyDescent="0.25">
      <c r="A75" s="41" t="s">
        <v>0</v>
      </c>
      <c r="B75" s="38"/>
      <c r="C75" s="38"/>
      <c r="D75" s="38"/>
      <c r="E75" s="17"/>
      <c r="F75" s="24"/>
    </row>
    <row r="76" spans="1:7" ht="15.75" x14ac:dyDescent="0.25">
      <c r="A76" s="33" t="s">
        <v>21</v>
      </c>
      <c r="B76" s="38"/>
      <c r="C76" s="38">
        <f>'тариф 01.10.21'!C24*3</f>
        <v>15691.914777599999</v>
      </c>
      <c r="D76" s="38">
        <v>8769</v>
      </c>
      <c r="E76" s="17">
        <f>C76-D76</f>
        <v>6922.9147775999991</v>
      </c>
      <c r="F76" s="24"/>
      <c r="G76" s="1" t="s">
        <v>143</v>
      </c>
    </row>
    <row r="77" spans="1:7" ht="15.75" hidden="1" x14ac:dyDescent="0.25">
      <c r="A77" s="40" t="s">
        <v>147</v>
      </c>
      <c r="B77" s="38"/>
      <c r="C77" s="38"/>
      <c r="D77" s="38"/>
      <c r="E77" s="17"/>
      <c r="F77" s="24">
        <f>G79</f>
        <v>0</v>
      </c>
      <c r="G77" s="151">
        <v>12822</v>
      </c>
    </row>
    <row r="78" spans="1:7" ht="15.75" hidden="1" x14ac:dyDescent="0.25">
      <c r="A78" s="40" t="s">
        <v>36</v>
      </c>
      <c r="B78" s="38"/>
      <c r="C78" s="38"/>
      <c r="D78" s="38"/>
      <c r="E78" s="17"/>
      <c r="F78" s="24">
        <f>F77*0.302</f>
        <v>0</v>
      </c>
      <c r="G78" s="75"/>
    </row>
    <row r="79" spans="1:7" ht="15.75" hidden="1" x14ac:dyDescent="0.25">
      <c r="A79" s="40" t="s">
        <v>37</v>
      </c>
      <c r="B79" s="38"/>
      <c r="C79" s="38"/>
      <c r="D79" s="38"/>
      <c r="E79" s="17"/>
      <c r="F79" s="24"/>
      <c r="G79" s="20">
        <f>G77*G78</f>
        <v>0</v>
      </c>
    </row>
    <row r="80" spans="1:7" ht="15.75" hidden="1" x14ac:dyDescent="0.25">
      <c r="A80" s="40" t="s">
        <v>0</v>
      </c>
      <c r="B80" s="38"/>
      <c r="C80" s="38"/>
      <c r="D80" s="38"/>
      <c r="E80" s="17"/>
      <c r="F80" s="24"/>
    </row>
    <row r="81" spans="1:7" ht="17.25" customHeight="1" x14ac:dyDescent="0.25">
      <c r="A81" s="33" t="s">
        <v>141</v>
      </c>
      <c r="B81" s="38"/>
      <c r="C81" s="38">
        <f>C82</f>
        <v>66428.732646119999</v>
      </c>
      <c r="D81" s="38">
        <f>D82</f>
        <v>0</v>
      </c>
      <c r="E81" s="17">
        <f>C81-D81</f>
        <v>66428.732646119999</v>
      </c>
      <c r="F81" s="24"/>
      <c r="G81" s="20"/>
    </row>
    <row r="82" spans="1:7" ht="17.25" hidden="1" customHeight="1" x14ac:dyDescent="0.25">
      <c r="A82" s="41" t="s">
        <v>39</v>
      </c>
      <c r="B82" s="38"/>
      <c r="C82" s="38">
        <f>'тариф 01.10.21'!C25*3+тариф!C26*9</f>
        <v>66428.732646119999</v>
      </c>
      <c r="D82" s="38"/>
      <c r="E82" s="17"/>
      <c r="F82" s="24"/>
    </row>
    <row r="83" spans="1:7" ht="15.75" x14ac:dyDescent="0.25">
      <c r="A83" s="33" t="s">
        <v>23</v>
      </c>
      <c r="B83" s="38"/>
      <c r="C83" s="38">
        <f>'тариф 01.10.21'!C26*3+тариф!C27*9</f>
        <v>49378.265080800003</v>
      </c>
      <c r="D83" s="38">
        <v>49378.265080800003</v>
      </c>
      <c r="E83" s="17">
        <f>C83-D83</f>
        <v>0</v>
      </c>
      <c r="F83" s="24"/>
    </row>
    <row r="84" spans="1:7" ht="15.75" hidden="1" x14ac:dyDescent="0.25">
      <c r="A84" s="40" t="s">
        <v>35</v>
      </c>
      <c r="B84" s="38"/>
      <c r="C84" s="38"/>
      <c r="D84" s="38"/>
      <c r="E84" s="17"/>
      <c r="F84" s="24"/>
    </row>
    <row r="85" spans="1:7" ht="15.75" hidden="1" x14ac:dyDescent="0.25">
      <c r="A85" s="40" t="s">
        <v>36</v>
      </c>
      <c r="B85" s="38"/>
      <c r="C85" s="38"/>
      <c r="D85" s="38"/>
      <c r="E85" s="17"/>
      <c r="F85" s="24"/>
    </row>
    <row r="86" spans="1:7" ht="15.75" hidden="1" x14ac:dyDescent="0.25">
      <c r="A86" s="40" t="s">
        <v>37</v>
      </c>
      <c r="B86" s="38"/>
      <c r="C86" s="38"/>
      <c r="D86" s="38"/>
      <c r="E86" s="17"/>
      <c r="F86" s="24"/>
    </row>
    <row r="87" spans="1:7" ht="15.75" hidden="1" x14ac:dyDescent="0.25">
      <c r="A87" s="40" t="s">
        <v>0</v>
      </c>
      <c r="B87" s="38"/>
      <c r="C87" s="38"/>
      <c r="D87" s="38"/>
      <c r="E87" s="17"/>
      <c r="F87" s="24"/>
    </row>
    <row r="88" spans="1:7" ht="15.75" x14ac:dyDescent="0.25">
      <c r="A88" s="31" t="s">
        <v>24</v>
      </c>
      <c r="B88" s="17"/>
      <c r="C88" s="17">
        <f>'тариф 01.10.21'!C27*3+тариф!C28*9</f>
        <v>50185.806722399997</v>
      </c>
      <c r="D88" s="17">
        <v>50185.806722399997</v>
      </c>
      <c r="E88" s="17"/>
      <c r="F88" s="24"/>
    </row>
    <row r="89" spans="1:7" ht="15.75" x14ac:dyDescent="0.25">
      <c r="A89" s="31" t="s">
        <v>25</v>
      </c>
      <c r="B89" s="17"/>
      <c r="C89" s="17">
        <f>'тариф 01.10.21'!C28*3+тариф!C29*9</f>
        <v>142668.69602939999</v>
      </c>
      <c r="D89" s="17">
        <f>142668.6960294+1880</f>
        <v>144548.69602939999</v>
      </c>
      <c r="E89" s="17">
        <f>C89-D89</f>
        <v>-1880</v>
      </c>
      <c r="F89" s="24"/>
    </row>
    <row r="90" spans="1:7" ht="15.75" hidden="1" x14ac:dyDescent="0.25">
      <c r="A90" s="67" t="s">
        <v>66</v>
      </c>
      <c r="B90" s="17"/>
      <c r="C90" s="17"/>
      <c r="D90" s="17">
        <f>SUM(D91:D99)</f>
        <v>0</v>
      </c>
      <c r="E90" s="17"/>
      <c r="F90" s="24"/>
    </row>
    <row r="91" spans="1:7" ht="15" hidden="1" customHeight="1" x14ac:dyDescent="0.25">
      <c r="A91" s="69" t="s">
        <v>78</v>
      </c>
      <c r="B91" s="17"/>
      <c r="C91" s="17"/>
      <c r="D91" s="38"/>
      <c r="E91" s="17"/>
      <c r="F91" s="53"/>
    </row>
    <row r="92" spans="1:7" ht="15.75" hidden="1" x14ac:dyDescent="0.25">
      <c r="A92" s="69" t="s">
        <v>36</v>
      </c>
      <c r="B92" s="17"/>
      <c r="C92" s="17"/>
      <c r="D92" s="38"/>
      <c r="E92" s="17"/>
      <c r="F92" s="53"/>
    </row>
    <row r="93" spans="1:7" ht="15.75" hidden="1" x14ac:dyDescent="0.25">
      <c r="A93" s="69" t="s">
        <v>49</v>
      </c>
      <c r="B93" s="17"/>
      <c r="C93" s="17"/>
      <c r="D93" s="38"/>
      <c r="E93" s="17"/>
      <c r="F93" s="53"/>
    </row>
    <row r="94" spans="1:7" ht="15.75" hidden="1" x14ac:dyDescent="0.25">
      <c r="A94" s="69" t="s">
        <v>50</v>
      </c>
      <c r="B94" s="17"/>
      <c r="C94" s="17"/>
      <c r="D94" s="38"/>
      <c r="E94" s="17"/>
      <c r="F94" s="53"/>
    </row>
    <row r="95" spans="1:7" ht="15.75" hidden="1" x14ac:dyDescent="0.25">
      <c r="A95" s="69" t="s">
        <v>86</v>
      </c>
      <c r="B95" s="17"/>
      <c r="C95" s="17"/>
      <c r="D95" s="38"/>
      <c r="E95" s="17"/>
      <c r="F95" s="53"/>
    </row>
    <row r="96" spans="1:7" ht="15.75" hidden="1" x14ac:dyDescent="0.25">
      <c r="A96" s="69" t="s">
        <v>51</v>
      </c>
      <c r="B96" s="17"/>
      <c r="C96" s="17"/>
      <c r="D96" s="38"/>
      <c r="E96" s="17"/>
      <c r="F96" s="53"/>
    </row>
    <row r="97" spans="1:6" ht="15.75" hidden="1" x14ac:dyDescent="0.25">
      <c r="A97" s="69" t="s">
        <v>52</v>
      </c>
      <c r="B97" s="17"/>
      <c r="C97" s="17"/>
      <c r="D97" s="38"/>
      <c r="E97" s="17"/>
      <c r="F97" s="53"/>
    </row>
    <row r="98" spans="1:6" ht="15.75" hidden="1" x14ac:dyDescent="0.25">
      <c r="A98" s="69" t="s">
        <v>53</v>
      </c>
      <c r="B98" s="17"/>
      <c r="C98" s="17"/>
      <c r="D98" s="38"/>
      <c r="E98" s="17"/>
      <c r="F98" s="53"/>
    </row>
    <row r="99" spans="1:6" ht="15.75" hidden="1" x14ac:dyDescent="0.25">
      <c r="A99" s="69" t="s">
        <v>0</v>
      </c>
      <c r="B99" s="17"/>
      <c r="C99" s="17"/>
      <c r="D99" s="38"/>
      <c r="E99" s="17"/>
      <c r="F99" s="53"/>
    </row>
    <row r="100" spans="1:6" ht="15.75" hidden="1" x14ac:dyDescent="0.25">
      <c r="A100" s="67" t="s">
        <v>67</v>
      </c>
      <c r="B100" s="17"/>
      <c r="C100" s="17"/>
      <c r="D100" s="17">
        <f>D101+D102+D103+D117+D118+D119+D115</f>
        <v>0</v>
      </c>
      <c r="E100" s="17"/>
      <c r="F100" s="24"/>
    </row>
    <row r="101" spans="1:6" ht="32.25" hidden="1" customHeight="1" x14ac:dyDescent="0.25">
      <c r="A101" s="112" t="s">
        <v>84</v>
      </c>
      <c r="B101" s="17"/>
      <c r="C101" s="17"/>
      <c r="D101" s="38"/>
      <c r="E101" s="17"/>
      <c r="F101" s="53"/>
    </row>
    <row r="102" spans="1:6" ht="15.75" hidden="1" x14ac:dyDescent="0.25">
      <c r="A102" s="112" t="s">
        <v>36</v>
      </c>
      <c r="B102" s="17"/>
      <c r="C102" s="17"/>
      <c r="D102" s="38"/>
      <c r="E102" s="17"/>
      <c r="F102" s="53"/>
    </row>
    <row r="103" spans="1:6" ht="28.5" hidden="1" x14ac:dyDescent="0.25">
      <c r="A103" s="112" t="s">
        <v>54</v>
      </c>
      <c r="B103" s="17"/>
      <c r="C103" s="17"/>
      <c r="D103" s="38"/>
      <c r="E103" s="17"/>
      <c r="F103" s="53"/>
    </row>
    <row r="104" spans="1:6" ht="15.75" hidden="1" x14ac:dyDescent="0.25">
      <c r="A104" s="111" t="s">
        <v>55</v>
      </c>
      <c r="B104" s="17"/>
      <c r="C104" s="17"/>
      <c r="D104" s="38"/>
      <c r="E104" s="17"/>
      <c r="F104" s="53"/>
    </row>
    <row r="105" spans="1:6" ht="15.75" hidden="1" x14ac:dyDescent="0.25">
      <c r="A105" s="111" t="s">
        <v>56</v>
      </c>
      <c r="B105" s="17"/>
      <c r="C105" s="17"/>
      <c r="D105" s="38"/>
      <c r="E105" s="17"/>
      <c r="F105" s="53"/>
    </row>
    <row r="106" spans="1:6" ht="15.75" hidden="1" x14ac:dyDescent="0.25">
      <c r="A106" s="111" t="s">
        <v>57</v>
      </c>
      <c r="B106" s="17"/>
      <c r="C106" s="17"/>
      <c r="D106" s="38"/>
      <c r="E106" s="17"/>
      <c r="F106" s="53"/>
    </row>
    <row r="107" spans="1:6" ht="15.75" hidden="1" x14ac:dyDescent="0.25">
      <c r="A107" s="111" t="s">
        <v>58</v>
      </c>
      <c r="B107" s="17"/>
      <c r="C107" s="17"/>
      <c r="D107" s="38"/>
      <c r="E107" s="17"/>
      <c r="F107" s="53"/>
    </row>
    <row r="108" spans="1:6" ht="15.75" hidden="1" x14ac:dyDescent="0.25">
      <c r="A108" s="111" t="s">
        <v>59</v>
      </c>
      <c r="B108" s="17"/>
      <c r="C108" s="17"/>
      <c r="D108" s="38"/>
      <c r="E108" s="17"/>
      <c r="F108" s="53"/>
    </row>
    <row r="109" spans="1:6" ht="15.75" hidden="1" x14ac:dyDescent="0.25">
      <c r="A109" s="111" t="s">
        <v>87</v>
      </c>
      <c r="B109" s="17"/>
      <c r="C109" s="17"/>
      <c r="D109" s="38"/>
      <c r="E109" s="17"/>
      <c r="F109" s="53"/>
    </row>
    <row r="110" spans="1:6" ht="15.75" hidden="1" x14ac:dyDescent="0.25">
      <c r="A110" s="111" t="s">
        <v>60</v>
      </c>
      <c r="B110" s="17"/>
      <c r="C110" s="17"/>
      <c r="D110" s="38"/>
      <c r="E110" s="17"/>
      <c r="F110" s="53"/>
    </row>
    <row r="111" spans="1:6" ht="18" hidden="1" customHeight="1" x14ac:dyDescent="0.25">
      <c r="A111" s="72" t="s">
        <v>61</v>
      </c>
      <c r="B111" s="17"/>
      <c r="C111" s="17"/>
      <c r="D111" s="38"/>
      <c r="E111" s="17"/>
      <c r="F111" s="53"/>
    </row>
    <row r="112" spans="1:6" ht="15.75" hidden="1" x14ac:dyDescent="0.25">
      <c r="A112" s="111" t="s">
        <v>62</v>
      </c>
      <c r="B112" s="17"/>
      <c r="C112" s="17"/>
      <c r="D112" s="38"/>
      <c r="E112" s="17"/>
      <c r="F112" s="53"/>
    </row>
    <row r="113" spans="1:7" ht="15.75" hidden="1" x14ac:dyDescent="0.25">
      <c r="A113" s="111" t="s">
        <v>63</v>
      </c>
      <c r="B113" s="17"/>
      <c r="C113" s="17"/>
      <c r="D113" s="38"/>
      <c r="E113" s="17"/>
      <c r="F113" s="53"/>
    </row>
    <row r="114" spans="1:7" ht="15.75" hidden="1" x14ac:dyDescent="0.25">
      <c r="A114" s="111" t="s">
        <v>83</v>
      </c>
      <c r="B114" s="17"/>
      <c r="C114" s="17"/>
      <c r="D114" s="38"/>
      <c r="E114" s="17"/>
      <c r="F114" s="53"/>
    </row>
    <row r="115" spans="1:7" ht="15.75" hidden="1" x14ac:dyDescent="0.25">
      <c r="A115" s="73" t="s">
        <v>88</v>
      </c>
      <c r="B115" s="17"/>
      <c r="C115" s="17"/>
      <c r="D115" s="38"/>
      <c r="E115" s="17"/>
      <c r="F115" s="53"/>
    </row>
    <row r="116" spans="1:7" ht="15.75" hidden="1" x14ac:dyDescent="0.25">
      <c r="A116" s="111" t="s">
        <v>89</v>
      </c>
      <c r="B116" s="17"/>
      <c r="C116" s="17"/>
      <c r="D116" s="38"/>
      <c r="E116" s="17"/>
      <c r="F116" s="53"/>
    </row>
    <row r="117" spans="1:7" ht="13.5" hidden="1" customHeight="1" x14ac:dyDescent="0.25">
      <c r="A117" s="74" t="s">
        <v>90</v>
      </c>
      <c r="B117" s="17"/>
      <c r="C117" s="17"/>
      <c r="D117" s="38"/>
      <c r="E117" s="17"/>
      <c r="F117" s="53"/>
    </row>
    <row r="118" spans="1:7" ht="15.75" hidden="1" x14ac:dyDescent="0.25">
      <c r="A118" s="70" t="s">
        <v>64</v>
      </c>
      <c r="B118" s="17"/>
      <c r="C118" s="17"/>
      <c r="D118" s="38"/>
      <c r="E118" s="17"/>
      <c r="F118" s="53"/>
    </row>
    <row r="119" spans="1:7" ht="15.75" hidden="1" x14ac:dyDescent="0.25">
      <c r="A119" s="70" t="s">
        <v>65</v>
      </c>
      <c r="B119" s="17"/>
      <c r="C119" s="17"/>
      <c r="D119" s="38"/>
      <c r="E119" s="17"/>
      <c r="F119" s="53"/>
    </row>
    <row r="120" spans="1:7" ht="42.75" x14ac:dyDescent="0.25">
      <c r="A120" s="152" t="s">
        <v>181</v>
      </c>
      <c r="B120" s="17"/>
      <c r="C120" s="17">
        <f>C121+C122</f>
        <v>37844.492399999996</v>
      </c>
      <c r="D120" s="17">
        <f>D121+D122</f>
        <v>5114.7299999999996</v>
      </c>
      <c r="E120" s="17"/>
      <c r="F120" s="53"/>
    </row>
    <row r="121" spans="1:7" ht="15.75" x14ac:dyDescent="0.25">
      <c r="A121" s="153" t="s">
        <v>182</v>
      </c>
      <c r="B121" s="17"/>
      <c r="C121" s="38">
        <f>тариф!C19*9</f>
        <v>37844.492399999996</v>
      </c>
      <c r="D121" s="38">
        <v>5114.7299999999996</v>
      </c>
      <c r="E121" s="17"/>
      <c r="F121" s="53"/>
    </row>
    <row r="122" spans="1:7" ht="15.75" x14ac:dyDescent="0.25">
      <c r="A122" s="153" t="s">
        <v>183</v>
      </c>
      <c r="B122" s="17"/>
      <c r="C122" s="38"/>
      <c r="D122" s="38"/>
      <c r="E122" s="17"/>
      <c r="F122" s="53"/>
    </row>
    <row r="123" spans="1:7" ht="15.75" x14ac:dyDescent="0.25">
      <c r="A123" s="35" t="s">
        <v>34</v>
      </c>
      <c r="B123" s="19"/>
      <c r="C123" s="19">
        <f>C89+C88+C64+C35+C9+C120</f>
        <v>564831.40407952806</v>
      </c>
      <c r="D123" s="19">
        <f>D89+D88+D64+D35+D9+D120</f>
        <v>458892.3342246</v>
      </c>
      <c r="E123" s="17">
        <f>C123-D123</f>
        <v>105939.06985492806</v>
      </c>
      <c r="F123" s="55"/>
      <c r="G123" s="19"/>
    </row>
    <row r="124" spans="1:7" ht="15.75" x14ac:dyDescent="0.25">
      <c r="A124" s="31" t="s">
        <v>27</v>
      </c>
      <c r="B124" s="30"/>
      <c r="C124" s="30">
        <f>'тариф 01.10.21'!B33</f>
        <v>3341.5</v>
      </c>
      <c r="D124" s="30"/>
      <c r="E124" s="57"/>
      <c r="F124" s="16"/>
    </row>
    <row r="125" spans="1:7" ht="31.5" customHeight="1" x14ac:dyDescent="0.25">
      <c r="A125" s="170" t="s">
        <v>188</v>
      </c>
      <c r="B125" s="44"/>
      <c r="C125" s="44"/>
      <c r="D125" s="17">
        <v>54221.32</v>
      </c>
      <c r="E125" s="52"/>
      <c r="F125" s="21"/>
    </row>
    <row r="126" spans="1:7" ht="28.5" customHeight="1" x14ac:dyDescent="0.25">
      <c r="A126" s="170" t="s">
        <v>187</v>
      </c>
      <c r="B126" s="44"/>
      <c r="C126" s="44"/>
      <c r="D126" s="17">
        <v>516799.83</v>
      </c>
      <c r="E126" s="52"/>
      <c r="F126" s="21"/>
    </row>
    <row r="127" spans="1:7" ht="90" customHeight="1" x14ac:dyDescent="0.3">
      <c r="A127" s="48"/>
      <c r="B127" s="1" t="s">
        <v>32</v>
      </c>
      <c r="C127" s="49"/>
      <c r="D127" s="49"/>
      <c r="E127" s="49"/>
      <c r="F127" s="1"/>
    </row>
    <row r="128" spans="1:7" ht="18.75" x14ac:dyDescent="0.3">
      <c r="A128" s="48"/>
      <c r="B128" s="1"/>
      <c r="C128" s="49"/>
      <c r="D128" s="49"/>
      <c r="E128" s="49"/>
      <c r="F128" s="1"/>
    </row>
    <row r="129" spans="1:6" ht="18.75" x14ac:dyDescent="0.3">
      <c r="A129" s="48"/>
      <c r="B129" s="1"/>
      <c r="C129" s="49"/>
      <c r="D129" s="49"/>
      <c r="E129" s="49"/>
      <c r="F129" s="1"/>
    </row>
    <row r="130" spans="1:6" ht="15.75" x14ac:dyDescent="0.25">
      <c r="A130" s="32"/>
      <c r="B130" s="51"/>
      <c r="C130" s="51"/>
      <c r="D130" s="51"/>
      <c r="E130" s="51"/>
    </row>
    <row r="131" spans="1:6" ht="15.75" x14ac:dyDescent="0.25">
      <c r="A131" s="15" t="s">
        <v>31</v>
      </c>
      <c r="B131" s="47" t="s">
        <v>45</v>
      </c>
      <c r="C131" s="47"/>
      <c r="D131" s="47" t="s">
        <v>73</v>
      </c>
      <c r="E131" s="47"/>
    </row>
    <row r="132" spans="1:6" ht="15.75" x14ac:dyDescent="0.25">
      <c r="A132" s="32"/>
      <c r="B132" s="51"/>
      <c r="C132" s="51"/>
      <c r="D132" s="51"/>
      <c r="E132" s="51"/>
    </row>
    <row r="133" spans="1:6" x14ac:dyDescent="0.25">
      <c r="C133" s="2">
        <f>'тариф 01.10.21'!C34+тариф!C34</f>
        <v>564831.40407952794</v>
      </c>
    </row>
  </sheetData>
  <mergeCells count="6">
    <mergeCell ref="A1:D1"/>
    <mergeCell ref="A2:D2"/>
    <mergeCell ref="A3:D3"/>
    <mergeCell ref="C4:D4"/>
    <mergeCell ref="A5:A7"/>
    <mergeCell ref="B5:C5"/>
  </mergeCell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4" workbookViewId="0">
      <selection activeCell="B21" sqref="B21:B26"/>
    </sheetView>
  </sheetViews>
  <sheetFormatPr defaultRowHeight="15" x14ac:dyDescent="0.25"/>
  <cols>
    <col min="1" max="1" width="70.42578125" customWidth="1"/>
    <col min="2" max="2" width="26" customWidth="1"/>
    <col min="3" max="4" width="19.85546875" customWidth="1"/>
  </cols>
  <sheetData>
    <row r="1" spans="1:4" x14ac:dyDescent="0.25">
      <c r="A1" s="1"/>
      <c r="B1" s="1" t="s">
        <v>151</v>
      </c>
      <c r="C1" s="1"/>
      <c r="D1" s="1"/>
    </row>
    <row r="2" spans="1:4" ht="25.5" customHeight="1" x14ac:dyDescent="0.25">
      <c r="A2" s="124" t="s">
        <v>152</v>
      </c>
      <c r="B2" s="125" t="str">
        <f>'ТХ дома'!C2</f>
        <v>Тимирязева, 35/1/2/3/4</v>
      </c>
      <c r="C2" s="126" t="s">
        <v>153</v>
      </c>
      <c r="D2" s="126" t="s">
        <v>154</v>
      </c>
    </row>
    <row r="3" spans="1:4" x14ac:dyDescent="0.25">
      <c r="A3" s="127" t="s">
        <v>155</v>
      </c>
      <c r="B3" s="128">
        <f>SUM(B4:B8)</f>
        <v>1.4632060269747122</v>
      </c>
      <c r="C3" s="129">
        <f>SUM(C4:C8)</f>
        <v>4889.3029391360014</v>
      </c>
      <c r="D3" s="129">
        <f t="shared" ref="D3" si="0">SUM(D4:D8)</f>
        <v>58671.63526963201</v>
      </c>
    </row>
    <row r="4" spans="1:4" ht="33" customHeight="1" x14ac:dyDescent="0.25">
      <c r="A4" s="130" t="s">
        <v>156</v>
      </c>
      <c r="B4" s="131">
        <v>0.20169996000000004</v>
      </c>
      <c r="C4" s="132">
        <f>B4*$B$33</f>
        <v>673.98041634000015</v>
      </c>
      <c r="D4" s="132">
        <f>C4*12</f>
        <v>8087.7649960800018</v>
      </c>
    </row>
    <row r="5" spans="1:4" x14ac:dyDescent="0.25">
      <c r="A5" s="130" t="s">
        <v>157</v>
      </c>
      <c r="B5" s="131">
        <v>0.4912314000000001</v>
      </c>
      <c r="C5" s="132">
        <f>B5*$B$33</f>
        <v>1641.4497231000003</v>
      </c>
      <c r="D5" s="132">
        <f t="shared" ref="D5:D8" si="1">C5*12</f>
        <v>19697.396677200002</v>
      </c>
    </row>
    <row r="6" spans="1:4" ht="30" x14ac:dyDescent="0.25">
      <c r="A6" s="130" t="s">
        <v>158</v>
      </c>
      <c r="B6" s="131">
        <v>9.4196080000000015E-2</v>
      </c>
      <c r="C6" s="132">
        <f t="shared" ref="C6:C8" si="2">B6*$B$33</f>
        <v>314.75620132000006</v>
      </c>
      <c r="D6" s="132">
        <f t="shared" si="1"/>
        <v>3777.0744158400007</v>
      </c>
    </row>
    <row r="7" spans="1:4" x14ac:dyDescent="0.25">
      <c r="A7" s="130" t="s">
        <v>159</v>
      </c>
      <c r="B7" s="131">
        <v>0.13461653748556038</v>
      </c>
      <c r="C7" s="132">
        <f t="shared" si="2"/>
        <v>449.82116000799999</v>
      </c>
      <c r="D7" s="132">
        <f t="shared" si="1"/>
        <v>5397.8539200960004</v>
      </c>
    </row>
    <row r="8" spans="1:4" x14ac:dyDescent="0.25">
      <c r="A8" s="130" t="s">
        <v>160</v>
      </c>
      <c r="B8" s="131">
        <v>0.54146204948915178</v>
      </c>
      <c r="C8" s="132">
        <f t="shared" si="2"/>
        <v>1809.2954383680008</v>
      </c>
      <c r="D8" s="132">
        <f t="shared" si="1"/>
        <v>21711.545260416009</v>
      </c>
    </row>
    <row r="9" spans="1:4" x14ac:dyDescent="0.25">
      <c r="A9" s="127" t="s">
        <v>161</v>
      </c>
      <c r="B9" s="128">
        <f>SUM(B10:B19)</f>
        <v>4.029174668442316</v>
      </c>
      <c r="C9" s="129">
        <f>SUM(C10:C19)</f>
        <v>13463.487154600001</v>
      </c>
      <c r="D9" s="129">
        <f t="shared" ref="D9" si="3">SUM(D10:D19)</f>
        <v>161561.84585519999</v>
      </c>
    </row>
    <row r="10" spans="1:4" ht="19.5" customHeight="1" x14ac:dyDescent="0.25">
      <c r="A10" s="130" t="s">
        <v>162</v>
      </c>
      <c r="B10" s="131">
        <v>1.7086584000000002</v>
      </c>
      <c r="C10" s="132">
        <f>B10*$B$33</f>
        <v>5709.4820436000009</v>
      </c>
      <c r="D10" s="132">
        <f>C10*12</f>
        <v>68513.784523200011</v>
      </c>
    </row>
    <row r="11" spans="1:4" x14ac:dyDescent="0.25">
      <c r="A11" s="130" t="s">
        <v>163</v>
      </c>
      <c r="B11" s="131">
        <v>0.94175039999999999</v>
      </c>
      <c r="C11" s="132">
        <f t="shared" ref="C11:C17" si="4">B11*$B$33</f>
        <v>3146.8589615999999</v>
      </c>
      <c r="D11" s="132">
        <f t="shared" ref="D11:D17" si="5">C11*12</f>
        <v>37762.307539200003</v>
      </c>
    </row>
    <row r="12" spans="1:4" x14ac:dyDescent="0.25">
      <c r="A12" s="130" t="s">
        <v>164</v>
      </c>
      <c r="B12" s="131">
        <v>0.24932226844231634</v>
      </c>
      <c r="C12" s="132">
        <f t="shared" si="4"/>
        <v>833.11036000000001</v>
      </c>
      <c r="D12" s="132">
        <f t="shared" si="5"/>
        <v>9997.3243199999997</v>
      </c>
    </row>
    <row r="13" spans="1:4" x14ac:dyDescent="0.25">
      <c r="A13" s="130" t="s">
        <v>165</v>
      </c>
      <c r="B13" s="133">
        <v>0.2780436</v>
      </c>
      <c r="C13" s="132">
        <f>B13*$B$33</f>
        <v>929.08268940000005</v>
      </c>
      <c r="D13" s="132">
        <f t="shared" si="5"/>
        <v>11148.9922728</v>
      </c>
    </row>
    <row r="14" spans="1:4" ht="92.25" customHeight="1" x14ac:dyDescent="0.25">
      <c r="A14" s="134" t="s">
        <v>166</v>
      </c>
      <c r="B14" s="133"/>
      <c r="C14" s="132">
        <f t="shared" si="4"/>
        <v>0</v>
      </c>
      <c r="D14" s="132">
        <f t="shared" si="5"/>
        <v>0</v>
      </c>
    </row>
    <row r="15" spans="1:4" ht="19.5" customHeight="1" x14ac:dyDescent="0.25">
      <c r="A15" s="135" t="s">
        <v>167</v>
      </c>
      <c r="B15" s="136">
        <v>0.65059999999999996</v>
      </c>
      <c r="C15" s="132">
        <f t="shared" si="4"/>
        <v>2173.9798999999998</v>
      </c>
      <c r="D15" s="132">
        <f t="shared" si="5"/>
        <v>26087.758799999996</v>
      </c>
    </row>
    <row r="16" spans="1:4" ht="30" x14ac:dyDescent="0.25">
      <c r="A16" s="134" t="s">
        <v>168</v>
      </c>
      <c r="B16" s="136"/>
      <c r="C16" s="132"/>
      <c r="D16" s="132"/>
    </row>
    <row r="17" spans="1:4" ht="30" x14ac:dyDescent="0.25">
      <c r="A17" s="134" t="s">
        <v>169</v>
      </c>
      <c r="B17" s="137">
        <v>0.20080000000000001</v>
      </c>
      <c r="C17" s="132">
        <f t="shared" si="4"/>
        <v>670.97320000000002</v>
      </c>
      <c r="D17" s="132">
        <f t="shared" si="5"/>
        <v>8051.6784000000007</v>
      </c>
    </row>
    <row r="18" spans="1:4" x14ac:dyDescent="0.25">
      <c r="A18" s="135" t="s">
        <v>170</v>
      </c>
      <c r="B18" s="136"/>
      <c r="C18" s="132"/>
      <c r="D18" s="132"/>
    </row>
    <row r="19" spans="1:4" x14ac:dyDescent="0.25">
      <c r="A19" s="130" t="s">
        <v>171</v>
      </c>
      <c r="B19" s="138"/>
      <c r="C19" s="132"/>
      <c r="D19" s="132"/>
    </row>
    <row r="20" spans="1:4" ht="18" customHeight="1" x14ac:dyDescent="0.25">
      <c r="A20" s="139" t="s">
        <v>172</v>
      </c>
      <c r="B20" s="140">
        <f>SUM(B21:B26)</f>
        <v>5.9847978299685769</v>
      </c>
      <c r="C20" s="141">
        <f>SUM(C21:C26)</f>
        <v>19998.20194884</v>
      </c>
      <c r="D20" s="141">
        <f t="shared" ref="D20" si="6">SUM(D21:D26)</f>
        <v>239978.42338608002</v>
      </c>
    </row>
    <row r="21" spans="1:4" x14ac:dyDescent="0.25">
      <c r="A21" s="130" t="s">
        <v>173</v>
      </c>
      <c r="B21" s="126">
        <v>0</v>
      </c>
      <c r="C21" s="132">
        <f>B21*$B$33</f>
        <v>0</v>
      </c>
      <c r="D21" s="132">
        <f>C21*12</f>
        <v>0</v>
      </c>
    </row>
    <row r="22" spans="1:4" x14ac:dyDescent="0.25">
      <c r="A22" s="134" t="s">
        <v>174</v>
      </c>
      <c r="B22" s="137">
        <v>1.6579450737692654</v>
      </c>
      <c r="C22" s="132">
        <f>B22*$B$33</f>
        <v>5540.0234639999999</v>
      </c>
      <c r="D22" s="132">
        <f t="shared" ref="D22:D28" si="7">C22*12</f>
        <v>66480.281568000006</v>
      </c>
    </row>
    <row r="23" spans="1:4" x14ac:dyDescent="0.25">
      <c r="A23" s="130" t="s">
        <v>20</v>
      </c>
      <c r="B23" s="142">
        <v>0</v>
      </c>
      <c r="C23" s="132">
        <f t="shared" ref="C23:C26" si="8">B23*$B$33</f>
        <v>0</v>
      </c>
      <c r="D23" s="132">
        <f t="shared" si="7"/>
        <v>0</v>
      </c>
    </row>
    <row r="24" spans="1:4" x14ac:dyDescent="0.25">
      <c r="A24" s="134" t="s">
        <v>175</v>
      </c>
      <c r="B24" s="137">
        <v>1.565356354691007</v>
      </c>
      <c r="C24" s="132">
        <f t="shared" si="8"/>
        <v>5230.6382592</v>
      </c>
      <c r="D24" s="132">
        <f t="shared" si="7"/>
        <v>62767.659110399996</v>
      </c>
    </row>
    <row r="25" spans="1:4" ht="30" x14ac:dyDescent="0.25">
      <c r="A25" s="130" t="s">
        <v>176</v>
      </c>
      <c r="B25" s="142">
        <v>1.5788380015083048</v>
      </c>
      <c r="C25" s="132">
        <f t="shared" si="8"/>
        <v>5275.6871820400002</v>
      </c>
      <c r="D25" s="132">
        <f t="shared" si="7"/>
        <v>63308.246184479998</v>
      </c>
    </row>
    <row r="26" spans="1:4" x14ac:dyDescent="0.25">
      <c r="A26" s="134" t="s">
        <v>177</v>
      </c>
      <c r="B26" s="137">
        <v>1.1826584000000002</v>
      </c>
      <c r="C26" s="132">
        <f t="shared" si="8"/>
        <v>3951.8530436000005</v>
      </c>
      <c r="D26" s="132">
        <f t="shared" si="7"/>
        <v>47422.236523200008</v>
      </c>
    </row>
    <row r="27" spans="1:4" x14ac:dyDescent="0.25">
      <c r="A27" s="127" t="s">
        <v>178</v>
      </c>
      <c r="B27" s="142">
        <v>1.2020152000000002</v>
      </c>
      <c r="C27" s="132">
        <f>B27*$B$33</f>
        <v>4016.5337908000006</v>
      </c>
      <c r="D27" s="132">
        <f t="shared" si="7"/>
        <v>48198.405489600009</v>
      </c>
    </row>
    <row r="28" spans="1:4" x14ac:dyDescent="0.25">
      <c r="A28" s="127" t="s">
        <v>179</v>
      </c>
      <c r="B28" s="143">
        <v>3.4170012000000001</v>
      </c>
      <c r="C28" s="132">
        <f>B28*$B$33</f>
        <v>11417.9095098</v>
      </c>
      <c r="D28" s="132">
        <f t="shared" si="7"/>
        <v>137014.91411760001</v>
      </c>
    </row>
    <row r="29" spans="1:4" ht="15.75" x14ac:dyDescent="0.25">
      <c r="A29" s="127" t="s">
        <v>180</v>
      </c>
      <c r="B29" s="144">
        <f>B28+B27+B26+B25+B24+B22+B17+B14+B13+B12+B11+B10+B8+B7+B6+B5+B4+B15</f>
        <v>16.09619492538561</v>
      </c>
      <c r="C29" s="145">
        <f>C28+C27+C26+C25+C24+C22+C17+C14+C13+C12+C11+C10+C8+C7+C6+C5+C4+C15</f>
        <v>53785.435343176003</v>
      </c>
      <c r="D29" s="145">
        <f t="shared" ref="D29" si="9">D28+D27+D26+D25+D24+D22+D17+D14+D13+D12+D11+D10+D8+D7+D6+D5+D4+D15</f>
        <v>645425.22411811189</v>
      </c>
    </row>
    <row r="30" spans="1:4" ht="32.25" customHeight="1" x14ac:dyDescent="0.25">
      <c r="A30" s="127" t="s">
        <v>181</v>
      </c>
      <c r="B30" s="146">
        <f>B31+B32</f>
        <v>0</v>
      </c>
      <c r="C30" s="146">
        <f t="shared" ref="C30:D30" si="10">C31+C32</f>
        <v>0</v>
      </c>
      <c r="D30" s="146">
        <f t="shared" si="10"/>
        <v>0</v>
      </c>
    </row>
    <row r="31" spans="1:4" x14ac:dyDescent="0.25">
      <c r="A31" s="127" t="s">
        <v>182</v>
      </c>
      <c r="B31" s="147"/>
      <c r="C31" s="126"/>
      <c r="D31" s="126"/>
    </row>
    <row r="32" spans="1:4" x14ac:dyDescent="0.25">
      <c r="A32" s="127" t="s">
        <v>183</v>
      </c>
      <c r="B32" s="147"/>
      <c r="C32" s="126"/>
      <c r="D32" s="126"/>
    </row>
    <row r="33" spans="1:4" x14ac:dyDescent="0.25">
      <c r="A33" s="148" t="s">
        <v>97</v>
      </c>
      <c r="B33" s="1">
        <f>'ТХ дома'!C8</f>
        <v>3341.5</v>
      </c>
      <c r="C33" s="1"/>
      <c r="D33" s="1"/>
    </row>
    <row r="34" spans="1:4" x14ac:dyDescent="0.25">
      <c r="A34" s="1"/>
      <c r="B34" s="1"/>
      <c r="C34" s="2">
        <f>C29*3</f>
        <v>161356.306029528</v>
      </c>
      <c r="D3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24" sqref="C24"/>
    </sheetView>
  </sheetViews>
  <sheetFormatPr defaultRowHeight="15" x14ac:dyDescent="0.25"/>
  <cols>
    <col min="1" max="1" width="78.140625" customWidth="1"/>
    <col min="2" max="2" width="18.7109375" customWidth="1"/>
    <col min="3" max="3" width="16" style="2" customWidth="1"/>
    <col min="4" max="4" width="18.42578125" customWidth="1"/>
    <col min="5" max="5" width="15.7109375" style="2" customWidth="1"/>
    <col min="6" max="6" width="18.85546875" customWidth="1"/>
    <col min="7" max="7" width="17.7109375" customWidth="1"/>
  </cols>
  <sheetData>
    <row r="1" spans="1:7" ht="15.75" x14ac:dyDescent="0.25">
      <c r="A1" s="14"/>
    </row>
    <row r="2" spans="1:7" ht="36.75" customHeight="1" x14ac:dyDescent="0.25">
      <c r="A2" s="113" t="s">
        <v>1</v>
      </c>
      <c r="B2" s="60" t="str">
        <f>'ТХ дома'!B2</f>
        <v>Тимирязева, 35/1/2/3/4</v>
      </c>
      <c r="C2" s="63"/>
      <c r="D2" s="60" t="str">
        <f>'ТХ дома'!B2</f>
        <v>Тимирязева, 35/1/2/3/4</v>
      </c>
      <c r="E2" s="63"/>
      <c r="F2" s="60" t="str">
        <f>'ТХ дома'!B2</f>
        <v>Тимирязева, 35/1/2/3/4</v>
      </c>
      <c r="G2" s="63"/>
    </row>
    <row r="3" spans="1:7" ht="15.75" x14ac:dyDescent="0.25">
      <c r="A3" s="3"/>
      <c r="B3" s="115">
        <v>2020</v>
      </c>
      <c r="C3" s="63"/>
      <c r="D3" s="115">
        <v>2019</v>
      </c>
      <c r="E3" s="63"/>
      <c r="F3" s="115">
        <v>2016</v>
      </c>
      <c r="G3" s="63"/>
    </row>
    <row r="4" spans="1:7" x14ac:dyDescent="0.25">
      <c r="A4" s="4" t="s">
        <v>30</v>
      </c>
      <c r="B4" s="103" t="s">
        <v>29</v>
      </c>
      <c r="C4" s="63"/>
      <c r="D4" s="103" t="s">
        <v>29</v>
      </c>
      <c r="E4" s="63"/>
      <c r="F4" s="103" t="s">
        <v>29</v>
      </c>
      <c r="G4" s="63"/>
    </row>
    <row r="5" spans="1:7" ht="17.25" customHeight="1" x14ac:dyDescent="0.25">
      <c r="A5" s="5" t="s">
        <v>2</v>
      </c>
      <c r="B5" s="6">
        <f t="shared" ref="B5:D5" si="0">SUM(B6:B11)</f>
        <v>0.82969999999999999</v>
      </c>
      <c r="C5" s="64">
        <f>SUM(C6:C10)</f>
        <v>2772.4425499999998</v>
      </c>
      <c r="D5" s="6">
        <f t="shared" si="0"/>
        <v>0.82969999999999999</v>
      </c>
      <c r="E5" s="64">
        <f>SUM(E6:E10)</f>
        <v>2772.4425499999998</v>
      </c>
      <c r="F5" s="6">
        <f t="shared" ref="F5" si="1">SUM(F6:F11)</f>
        <v>0.81582741669416037</v>
      </c>
      <c r="G5" s="64">
        <f>SUM(G6:G10)</f>
        <v>2726.0873128835365</v>
      </c>
    </row>
    <row r="6" spans="1:7" ht="39" customHeight="1" x14ac:dyDescent="0.25">
      <c r="A6" s="7" t="s">
        <v>3</v>
      </c>
      <c r="B6" s="8">
        <v>4.8399999999999999E-2</v>
      </c>
      <c r="C6" s="38">
        <f>B6*$B$31</f>
        <v>161.7286</v>
      </c>
      <c r="D6" s="8">
        <v>4.8399999999999999E-2</v>
      </c>
      <c r="E6" s="38">
        <f>D6*$B$31</f>
        <v>161.7286</v>
      </c>
      <c r="F6" s="106">
        <v>4.7557274826789835E-2</v>
      </c>
      <c r="G6" s="38">
        <f>F6*$B$31</f>
        <v>158.91263383371825</v>
      </c>
    </row>
    <row r="7" spans="1:7" ht="18.75" customHeight="1" x14ac:dyDescent="0.25">
      <c r="A7" s="9" t="s">
        <v>4</v>
      </c>
      <c r="B7" s="8">
        <v>0.2356</v>
      </c>
      <c r="C7" s="38">
        <f t="shared" ref="C7:C27" si="2">B7*$B$31</f>
        <v>787.25739999999996</v>
      </c>
      <c r="D7" s="8">
        <v>0.2356</v>
      </c>
      <c r="E7" s="38">
        <f t="shared" ref="E7:E11" si="3">D7*$B$31</f>
        <v>787.25739999999996</v>
      </c>
      <c r="F7" s="106">
        <v>0.23164731111844272</v>
      </c>
      <c r="G7" s="38">
        <f t="shared" ref="G7:G11" si="4">F7*$B$31</f>
        <v>774.04949010227631</v>
      </c>
    </row>
    <row r="8" spans="1:7" ht="25.5" x14ac:dyDescent="0.25">
      <c r="A8" s="7" t="s">
        <v>5</v>
      </c>
      <c r="B8" s="8">
        <v>2.2599999999999999E-2</v>
      </c>
      <c r="C8" s="38">
        <f t="shared" si="2"/>
        <v>75.517899999999997</v>
      </c>
      <c r="D8" s="8">
        <v>2.2599999999999999E-2</v>
      </c>
      <c r="E8" s="38">
        <f t="shared" si="3"/>
        <v>75.517899999999997</v>
      </c>
      <c r="F8" s="106">
        <v>2.2209765753876606E-2</v>
      </c>
      <c r="G8" s="38">
        <f t="shared" si="4"/>
        <v>74.213932266578681</v>
      </c>
    </row>
    <row r="9" spans="1:7" ht="15.75" x14ac:dyDescent="0.25">
      <c r="A9" s="9" t="s">
        <v>6</v>
      </c>
      <c r="B9" s="8">
        <v>0.26079999999999998</v>
      </c>
      <c r="C9" s="38">
        <f t="shared" si="2"/>
        <v>871.46319999999992</v>
      </c>
      <c r="D9" s="8">
        <v>0.26079999999999998</v>
      </c>
      <c r="E9" s="38">
        <f t="shared" si="3"/>
        <v>871.46319999999992</v>
      </c>
      <c r="F9" s="106">
        <v>0.2564929990102276</v>
      </c>
      <c r="G9" s="38">
        <f t="shared" si="4"/>
        <v>857.07135619267547</v>
      </c>
    </row>
    <row r="10" spans="1:7" ht="15.75" x14ac:dyDescent="0.25">
      <c r="A10" s="9" t="s">
        <v>7</v>
      </c>
      <c r="B10" s="8">
        <v>0.26229999999999998</v>
      </c>
      <c r="C10" s="38">
        <f t="shared" si="2"/>
        <v>876.47544999999991</v>
      </c>
      <c r="D10" s="8">
        <v>0.26229999999999998</v>
      </c>
      <c r="E10" s="38">
        <f t="shared" si="3"/>
        <v>876.47544999999991</v>
      </c>
      <c r="F10" s="106">
        <v>0.25792006598482353</v>
      </c>
      <c r="G10" s="38">
        <f t="shared" si="4"/>
        <v>861.83990048828787</v>
      </c>
    </row>
    <row r="11" spans="1:7" s="1" customFormat="1" ht="15.75" hidden="1" x14ac:dyDescent="0.25">
      <c r="A11" s="9"/>
      <c r="B11" s="8">
        <v>0</v>
      </c>
      <c r="C11" s="38">
        <f t="shared" si="2"/>
        <v>0</v>
      </c>
      <c r="D11" s="8">
        <v>0</v>
      </c>
      <c r="E11" s="56">
        <f t="shared" si="3"/>
        <v>0</v>
      </c>
      <c r="F11" s="8">
        <v>0</v>
      </c>
      <c r="G11" s="56">
        <f t="shared" si="4"/>
        <v>0</v>
      </c>
    </row>
    <row r="12" spans="1:7" ht="15.75" x14ac:dyDescent="0.25">
      <c r="A12" s="5" t="s">
        <v>8</v>
      </c>
      <c r="B12" s="6">
        <f t="shared" ref="B12:D12" si="5">SUM(B13:B20)</f>
        <v>2.8271999999999999</v>
      </c>
      <c r="C12" s="122">
        <f t="shared" si="5"/>
        <v>9447.0887999999995</v>
      </c>
      <c r="D12" s="6">
        <f t="shared" si="5"/>
        <v>2.7045999999999997</v>
      </c>
      <c r="E12" s="64">
        <f>SUM(E13:E20)</f>
        <v>9037.4208999999992</v>
      </c>
      <c r="F12" s="6">
        <f t="shared" ref="F12" si="6">SUM(F13:F20)</f>
        <v>2.1762964150445399</v>
      </c>
      <c r="G12" s="64">
        <f>SUM(G13:G20)</f>
        <v>7272.0944708713287</v>
      </c>
    </row>
    <row r="13" spans="1:7" ht="15.75" x14ac:dyDescent="0.25">
      <c r="A13" s="9" t="s">
        <v>9</v>
      </c>
      <c r="B13" s="8">
        <v>0.88449999999999995</v>
      </c>
      <c r="C13" s="38">
        <f t="shared" si="2"/>
        <v>2955.5567499999997</v>
      </c>
      <c r="D13" s="8">
        <v>0.88449999999999995</v>
      </c>
      <c r="E13" s="38">
        <f t="shared" ref="E13:E20" si="7">D13*$B$31</f>
        <v>2955.5567499999997</v>
      </c>
      <c r="F13" s="106">
        <v>0.86972787858792477</v>
      </c>
      <c r="G13" s="38">
        <f t="shared" ref="G13:G20" si="8">F13*$B$31</f>
        <v>2906.1957063015507</v>
      </c>
    </row>
    <row r="14" spans="1:7" ht="15.75" x14ac:dyDescent="0.25">
      <c r="A14" s="9" t="s">
        <v>10</v>
      </c>
      <c r="B14" s="8">
        <v>0.1774</v>
      </c>
      <c r="C14" s="38">
        <f t="shared" si="2"/>
        <v>592.78210000000001</v>
      </c>
      <c r="D14" s="8">
        <v>0.1774</v>
      </c>
      <c r="E14" s="38">
        <f t="shared" si="7"/>
        <v>592.78210000000001</v>
      </c>
      <c r="F14" s="106">
        <v>0.17441999999999999</v>
      </c>
      <c r="G14" s="38">
        <f t="shared" si="8"/>
        <v>582.82443000000001</v>
      </c>
    </row>
    <row r="15" spans="1:7" ht="15.75" x14ac:dyDescent="0.25">
      <c r="A15" s="9" t="s">
        <v>11</v>
      </c>
      <c r="B15" s="8">
        <v>0.25979999999999998</v>
      </c>
      <c r="C15" s="38">
        <f t="shared" si="2"/>
        <v>868.12169999999992</v>
      </c>
      <c r="D15" s="8">
        <v>0.25979999999999998</v>
      </c>
      <c r="E15" s="38">
        <f t="shared" si="7"/>
        <v>868.12169999999992</v>
      </c>
      <c r="F15" s="106">
        <v>0.25547014186737049</v>
      </c>
      <c r="G15" s="38">
        <f t="shared" si="8"/>
        <v>853.65347904981854</v>
      </c>
    </row>
    <row r="16" spans="1:7" ht="15.75" x14ac:dyDescent="0.25">
      <c r="A16" s="10" t="s">
        <v>12</v>
      </c>
      <c r="B16" s="8">
        <v>6.6600000000000006E-2</v>
      </c>
      <c r="C16" s="38">
        <f t="shared" si="2"/>
        <v>222.54390000000001</v>
      </c>
      <c r="D16" s="8">
        <v>6.6600000000000006E-2</v>
      </c>
      <c r="E16" s="38">
        <f t="shared" si="7"/>
        <v>222.54390000000001</v>
      </c>
      <c r="F16" s="107">
        <v>6.5537908281095333E-2</v>
      </c>
      <c r="G16" s="38">
        <f t="shared" si="8"/>
        <v>218.99492052128005</v>
      </c>
    </row>
    <row r="17" spans="1:7" ht="15.75" x14ac:dyDescent="0.25">
      <c r="A17" s="9" t="s">
        <v>13</v>
      </c>
      <c r="B17" s="8">
        <v>0</v>
      </c>
      <c r="C17" s="38">
        <f t="shared" si="2"/>
        <v>0</v>
      </c>
      <c r="D17" s="8">
        <v>0</v>
      </c>
      <c r="E17" s="38">
        <f t="shared" si="7"/>
        <v>0</v>
      </c>
      <c r="F17" s="108">
        <v>0</v>
      </c>
      <c r="G17" s="38">
        <f t="shared" si="8"/>
        <v>0</v>
      </c>
    </row>
    <row r="18" spans="1:7" ht="15.75" x14ac:dyDescent="0.25">
      <c r="A18" s="9" t="s">
        <v>14</v>
      </c>
      <c r="B18" s="8">
        <v>0</v>
      </c>
      <c r="C18" s="38">
        <f t="shared" si="2"/>
        <v>0</v>
      </c>
      <c r="D18" s="8">
        <v>0</v>
      </c>
      <c r="E18" s="38">
        <f t="shared" si="7"/>
        <v>0</v>
      </c>
      <c r="F18" s="8">
        <v>0</v>
      </c>
      <c r="G18" s="38">
        <f t="shared" si="8"/>
        <v>0</v>
      </c>
    </row>
    <row r="19" spans="1:7" ht="15.75" x14ac:dyDescent="0.25">
      <c r="A19" s="9" t="s">
        <v>15</v>
      </c>
      <c r="B19" s="8">
        <v>1.2584</v>
      </c>
      <c r="C19" s="38">
        <f t="shared" si="2"/>
        <v>4204.9435999999996</v>
      </c>
      <c r="D19" s="8">
        <v>1.1357999999999999</v>
      </c>
      <c r="E19" s="38">
        <f t="shared" si="7"/>
        <v>3795.2756999999997</v>
      </c>
      <c r="F19" s="8">
        <v>0.63360172022434846</v>
      </c>
      <c r="G19" s="38">
        <f t="shared" si="8"/>
        <v>2117.1801481296602</v>
      </c>
    </row>
    <row r="20" spans="1:7" ht="15.75" x14ac:dyDescent="0.25">
      <c r="A20" s="10" t="s">
        <v>16</v>
      </c>
      <c r="B20" s="8">
        <v>0.18049999999999999</v>
      </c>
      <c r="C20" s="38">
        <f t="shared" si="2"/>
        <v>603.14075000000003</v>
      </c>
      <c r="D20" s="8">
        <v>0.18049999999999999</v>
      </c>
      <c r="E20" s="38">
        <f t="shared" si="7"/>
        <v>603.14075000000003</v>
      </c>
      <c r="F20" s="109">
        <v>0.17753876608380073</v>
      </c>
      <c r="G20" s="38">
        <f t="shared" si="8"/>
        <v>593.24578686902009</v>
      </c>
    </row>
    <row r="21" spans="1:7" ht="28.5" x14ac:dyDescent="0.25">
      <c r="A21" s="5" t="s">
        <v>17</v>
      </c>
      <c r="B21" s="6">
        <f t="shared" ref="B21:G21" si="9">SUM(B22:B27)</f>
        <v>4.8863000000000003</v>
      </c>
      <c r="C21" s="64">
        <f t="shared" si="9"/>
        <v>16327.571449999999</v>
      </c>
      <c r="D21" s="110">
        <f t="shared" si="9"/>
        <v>4.8863000000000003</v>
      </c>
      <c r="E21" s="64">
        <f t="shared" si="9"/>
        <v>16327.571449999999</v>
      </c>
      <c r="F21" s="110">
        <f t="shared" si="9"/>
        <v>4.8048992972616293</v>
      </c>
      <c r="G21" s="64">
        <f t="shared" si="9"/>
        <v>16055.571001799733</v>
      </c>
    </row>
    <row r="22" spans="1:7" ht="15.75" x14ac:dyDescent="0.25">
      <c r="A22" s="9" t="s">
        <v>18</v>
      </c>
      <c r="B22" s="8">
        <v>0</v>
      </c>
      <c r="C22" s="38">
        <f t="shared" si="2"/>
        <v>0</v>
      </c>
      <c r="D22" s="8">
        <v>0</v>
      </c>
      <c r="E22" s="38">
        <f t="shared" ref="E22:E27" si="10">D22*$B$31</f>
        <v>0</v>
      </c>
      <c r="F22" s="108">
        <v>0</v>
      </c>
      <c r="G22" s="38">
        <f t="shared" ref="G22:G29" si="11">F22*$B$31</f>
        <v>0</v>
      </c>
    </row>
    <row r="23" spans="1:7" ht="15.75" x14ac:dyDescent="0.25">
      <c r="A23" s="9" t="s">
        <v>19</v>
      </c>
      <c r="B23" s="8">
        <v>1.7668999999999999</v>
      </c>
      <c r="C23" s="38">
        <f>B23*$B$31</f>
        <v>5904.0963499999998</v>
      </c>
      <c r="D23" s="8">
        <v>1.7668999999999999</v>
      </c>
      <c r="E23" s="38">
        <f t="shared" si="10"/>
        <v>5904.0963499999998</v>
      </c>
      <c r="F23" s="108">
        <v>1.7374404486967996</v>
      </c>
      <c r="G23" s="38">
        <f t="shared" si="11"/>
        <v>5805.6572593203555</v>
      </c>
    </row>
    <row r="24" spans="1:7" ht="15.75" x14ac:dyDescent="0.25">
      <c r="A24" s="9" t="s">
        <v>20</v>
      </c>
      <c r="B24" s="8">
        <v>0.18909999999999999</v>
      </c>
      <c r="C24" s="38">
        <f t="shared" si="2"/>
        <v>631.87765000000002</v>
      </c>
      <c r="D24" s="8">
        <v>0.18909999999999999</v>
      </c>
      <c r="E24" s="38">
        <f t="shared" si="10"/>
        <v>631.87765000000002</v>
      </c>
      <c r="F24" s="108">
        <v>0.18597901682612999</v>
      </c>
      <c r="G24" s="38">
        <f t="shared" si="11"/>
        <v>621.44888472451339</v>
      </c>
    </row>
    <row r="25" spans="1:7" ht="15.75" x14ac:dyDescent="0.25">
      <c r="A25" s="9" t="s">
        <v>21</v>
      </c>
      <c r="B25" s="8">
        <v>0</v>
      </c>
      <c r="C25" s="38">
        <f t="shared" si="2"/>
        <v>0</v>
      </c>
      <c r="D25" s="8">
        <v>0</v>
      </c>
      <c r="E25" s="38">
        <f t="shared" si="10"/>
        <v>0</v>
      </c>
      <c r="F25" s="108">
        <v>0</v>
      </c>
      <c r="G25" s="38">
        <f t="shared" si="11"/>
        <v>0</v>
      </c>
    </row>
    <row r="26" spans="1:7" ht="15.75" x14ac:dyDescent="0.25">
      <c r="A26" s="9" t="s">
        <v>22</v>
      </c>
      <c r="B26" s="8">
        <v>1.6826000000000001</v>
      </c>
      <c r="C26" s="38">
        <f t="shared" si="2"/>
        <v>5622.4079000000002</v>
      </c>
      <c r="D26" s="8">
        <v>1.6826000000000001</v>
      </c>
      <c r="E26" s="38">
        <f t="shared" si="10"/>
        <v>5622.4079000000002</v>
      </c>
      <c r="F26" s="108">
        <v>1.6545403398218408</v>
      </c>
      <c r="G26" s="38">
        <f t="shared" si="11"/>
        <v>5528.6465455146808</v>
      </c>
    </row>
    <row r="27" spans="1:7" ht="15.75" x14ac:dyDescent="0.25">
      <c r="A27" s="9" t="s">
        <v>23</v>
      </c>
      <c r="B27" s="8">
        <v>1.2477</v>
      </c>
      <c r="C27" s="38">
        <f t="shared" si="2"/>
        <v>4169.1895500000001</v>
      </c>
      <c r="D27" s="8">
        <v>1.2477</v>
      </c>
      <c r="E27" s="38">
        <f t="shared" si="10"/>
        <v>4169.1895500000001</v>
      </c>
      <c r="F27" s="108">
        <v>1.226939491916859</v>
      </c>
      <c r="G27" s="38">
        <f t="shared" si="11"/>
        <v>4099.8183122401842</v>
      </c>
    </row>
    <row r="28" spans="1:7" ht="15.75" x14ac:dyDescent="0.25">
      <c r="A28" s="5" t="s">
        <v>24</v>
      </c>
      <c r="B28" s="8">
        <v>1.2681</v>
      </c>
      <c r="C28" s="38">
        <f>B28*$B$31</f>
        <v>4237.3561499999996</v>
      </c>
      <c r="D28" s="8">
        <v>1.2681</v>
      </c>
      <c r="E28" s="38">
        <f>D28*$B$31</f>
        <v>4237.3561499999996</v>
      </c>
      <c r="F28" s="108">
        <v>1.2470000000000001</v>
      </c>
      <c r="G28" s="38">
        <f t="shared" si="11"/>
        <v>4166.8505000000005</v>
      </c>
    </row>
    <row r="29" spans="1:7" ht="15.75" x14ac:dyDescent="0.25">
      <c r="A29" s="5" t="s">
        <v>25</v>
      </c>
      <c r="B29" s="8">
        <v>3.605</v>
      </c>
      <c r="C29" s="38">
        <f>B29*$B$31</f>
        <v>12046.1075</v>
      </c>
      <c r="D29" s="8">
        <v>3.605</v>
      </c>
      <c r="E29" s="38">
        <f t="shared" ref="E29" si="12">D29*$B$31</f>
        <v>12046.1075</v>
      </c>
      <c r="F29" s="108">
        <v>3.54494</v>
      </c>
      <c r="G29" s="38">
        <f t="shared" si="11"/>
        <v>11845.417009999999</v>
      </c>
    </row>
    <row r="30" spans="1:7" ht="15.75" x14ac:dyDescent="0.25">
      <c r="A30" s="11" t="s">
        <v>26</v>
      </c>
      <c r="B30" s="12">
        <f t="shared" ref="B30:D30" si="13">B29+B28+B27+B26+B25+B24+B23+B22+B20+B19+B18+B17+B16+B15+B14+B13+B11+B10+B9+B8+B7+B6</f>
        <v>13.4163</v>
      </c>
      <c r="C30" s="65">
        <f>C29+C28+C27+C26+C25+C24+C23+C22+C20+C19+C18+C17+C16+C15+C14+C13+C10+C9+C8+C7+C6</f>
        <v>44830.566449999991</v>
      </c>
      <c r="D30" s="12">
        <f t="shared" si="13"/>
        <v>13.293699999999998</v>
      </c>
      <c r="E30" s="65">
        <f>E29+E28+E27+E26+E25+E24+E23+E22+E20+E19+E18+E17+E16+E15+E14+E13+E10+E9+E8+E7+E6</f>
        <v>44420.898549999991</v>
      </c>
      <c r="F30" s="12">
        <f>F29+F28+F27+F26+F25+F24+F23+F22+F20+F19+F18+F17+F16+F15+F14+F13+F11+F10+F9+F8+F7+F6</f>
        <v>12.58896312900033</v>
      </c>
      <c r="G30" s="65">
        <f>G29+G28+G27+G26+G25+G24+G23+G22+G20+G19+G18+G17+G16+G15+G14+G13+G10+G9+G8+G7+G6</f>
        <v>42066.020295554597</v>
      </c>
    </row>
    <row r="31" spans="1:7" ht="15.75" x14ac:dyDescent="0.25">
      <c r="A31" s="5" t="s">
        <v>27</v>
      </c>
      <c r="B31" s="62">
        <f>'ТХ дома'!C8</f>
        <v>3341.5</v>
      </c>
      <c r="C31" s="66"/>
      <c r="D31" s="62">
        <f>'ТХ дома'!B8</f>
        <v>3031</v>
      </c>
      <c r="E31" s="66"/>
      <c r="F31" s="62">
        <f>'ТХ дома'!B8</f>
        <v>3031</v>
      </c>
      <c r="G31" s="66"/>
    </row>
    <row r="32" spans="1:7" ht="15.75" hidden="1" x14ac:dyDescent="0.25">
      <c r="A32" s="13" t="s">
        <v>28</v>
      </c>
      <c r="B32" s="38">
        <f>B30*B31</f>
        <v>44830.566449999998</v>
      </c>
      <c r="C32" s="38">
        <f t="shared" ref="C32:E32" si="14">C30*C31</f>
        <v>0</v>
      </c>
      <c r="D32" s="38">
        <f t="shared" si="14"/>
        <v>40293.204699999995</v>
      </c>
      <c r="E32" s="38">
        <f t="shared" si="14"/>
        <v>0</v>
      </c>
    </row>
    <row r="34" spans="3:3" x14ac:dyDescent="0.25">
      <c r="C34" s="2">
        <f>C30*9</f>
        <v>403475.09804999991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opLeftCell="A107" zoomScaleNormal="100" workbookViewId="0">
      <selection activeCell="A29" sqref="A29"/>
    </sheetView>
  </sheetViews>
  <sheetFormatPr defaultRowHeight="15" x14ac:dyDescent="0.25"/>
  <cols>
    <col min="1" max="1" width="68.140625" style="1" customWidth="1"/>
    <col min="2" max="2" width="13" style="2" customWidth="1"/>
    <col min="3" max="3" width="13.28515625" style="2" customWidth="1"/>
    <col min="4" max="4" width="14" style="2" customWidth="1"/>
    <col min="5" max="5" width="20.140625" style="2" customWidth="1"/>
    <col min="6" max="6" width="18.28515625" style="2" customWidth="1"/>
    <col min="7" max="7" width="18.140625" style="1" customWidth="1"/>
    <col min="8" max="8" width="13" style="1" customWidth="1"/>
    <col min="9" max="9" width="10.85546875" style="1" customWidth="1"/>
    <col min="10" max="12" width="9.140625" style="1" customWidth="1"/>
    <col min="13" max="16384" width="9.140625" style="1"/>
  </cols>
  <sheetData>
    <row r="1" spans="1:10" ht="28.5" customHeight="1" x14ac:dyDescent="0.25">
      <c r="A1" s="36" t="s">
        <v>46</v>
      </c>
    </row>
    <row r="2" spans="1:10" ht="25.5" customHeight="1" x14ac:dyDescent="0.25">
      <c r="A2" s="154" t="s">
        <v>74</v>
      </c>
      <c r="B2" s="154"/>
      <c r="C2" s="154"/>
      <c r="D2" s="154"/>
      <c r="E2" s="154"/>
      <c r="F2" s="22"/>
    </row>
    <row r="3" spans="1:10" ht="21.75" customHeight="1" x14ac:dyDescent="0.25">
      <c r="A3" s="155" t="s">
        <v>85</v>
      </c>
      <c r="B3" s="155"/>
      <c r="C3" s="155"/>
      <c r="D3" s="155"/>
      <c r="E3" s="155"/>
      <c r="F3" s="22"/>
    </row>
    <row r="4" spans="1:10" ht="25.5" customHeight="1" x14ac:dyDescent="0.25">
      <c r="A4" s="61" t="s">
        <v>1</v>
      </c>
      <c r="B4" s="156" t="str">
        <f>тариф!B2</f>
        <v>Тимирязева, 35/1/2/3/4</v>
      </c>
      <c r="C4" s="157"/>
      <c r="D4" s="157"/>
      <c r="E4" s="158"/>
      <c r="F4" s="27"/>
    </row>
    <row r="5" spans="1:10" ht="25.5" customHeight="1" x14ac:dyDescent="0.25">
      <c r="A5" s="159" t="s">
        <v>30</v>
      </c>
      <c r="B5" s="162" t="s">
        <v>43</v>
      </c>
      <c r="C5" s="163"/>
      <c r="D5" s="54" t="s">
        <v>44</v>
      </c>
      <c r="E5" s="54" t="s">
        <v>68</v>
      </c>
    </row>
    <row r="6" spans="1:10" ht="21.75" customHeight="1" x14ac:dyDescent="0.25">
      <c r="A6" s="160"/>
      <c r="B6" s="26" t="s">
        <v>42</v>
      </c>
      <c r="C6" s="26" t="s">
        <v>41</v>
      </c>
      <c r="D6" s="26" t="s">
        <v>41</v>
      </c>
      <c r="E6" s="26" t="s">
        <v>69</v>
      </c>
      <c r="F6" s="28"/>
      <c r="G6" s="99"/>
    </row>
    <row r="7" spans="1:10" ht="15.75" x14ac:dyDescent="0.25">
      <c r="A7" s="161"/>
      <c r="B7" s="37" t="s">
        <v>33</v>
      </c>
      <c r="C7" s="37" t="s">
        <v>33</v>
      </c>
      <c r="D7" s="37" t="s">
        <v>33</v>
      </c>
      <c r="E7" s="37" t="s">
        <v>33</v>
      </c>
      <c r="F7" s="23"/>
      <c r="G7" s="99"/>
    </row>
    <row r="8" spans="1:10" ht="15.75" x14ac:dyDescent="0.25">
      <c r="A8" s="58">
        <v>1</v>
      </c>
      <c r="B8" s="59">
        <v>2</v>
      </c>
      <c r="C8" s="59">
        <v>3</v>
      </c>
      <c r="D8" s="59">
        <v>4</v>
      </c>
      <c r="E8" s="59">
        <v>5</v>
      </c>
      <c r="F8" s="23"/>
      <c r="G8" s="116" t="s">
        <v>148</v>
      </c>
    </row>
    <row r="9" spans="1:10" ht="17.25" customHeight="1" x14ac:dyDescent="0.25">
      <c r="A9" s="31" t="s">
        <v>2</v>
      </c>
      <c r="B9" s="17">
        <f>B10+B15+B20+B25+B30</f>
        <v>2772.4425499999998</v>
      </c>
      <c r="C9" s="17">
        <f>C10+C15+C20+C25+C30</f>
        <v>33269.310599999997</v>
      </c>
      <c r="D9" s="17">
        <f t="shared" ref="D9" si="0">D10+D15+D20+D25+D30</f>
        <v>0</v>
      </c>
      <c r="E9" s="17">
        <f>C9-D9</f>
        <v>33269.310599999997</v>
      </c>
      <c r="F9" s="100"/>
      <c r="G9" s="123">
        <v>1.1000000000000001</v>
      </c>
    </row>
    <row r="10" spans="1:10" ht="65.25" customHeight="1" x14ac:dyDescent="0.25">
      <c r="A10" s="33" t="s">
        <v>146</v>
      </c>
      <c r="B10" s="38">
        <f>F10</f>
        <v>161.7286</v>
      </c>
      <c r="C10" s="38">
        <f>B10*12</f>
        <v>1940.7431999999999</v>
      </c>
      <c r="D10" s="38">
        <f>SUM(D11:D14)</f>
        <v>0</v>
      </c>
      <c r="E10" s="17">
        <f>C10-D10</f>
        <v>1940.7431999999999</v>
      </c>
      <c r="F10" s="24">
        <f>тариф!C6</f>
        <v>161.7286</v>
      </c>
      <c r="G10" s="1" t="s">
        <v>134</v>
      </c>
      <c r="H10" s="1" t="s">
        <v>135</v>
      </c>
    </row>
    <row r="11" spans="1:10" ht="16.5" customHeight="1" x14ac:dyDescent="0.25">
      <c r="A11" s="39" t="s">
        <v>35</v>
      </c>
      <c r="B11" s="38"/>
      <c r="C11" s="38"/>
      <c r="D11" s="38"/>
      <c r="E11" s="17"/>
      <c r="F11" s="24">
        <f>G14+H14</f>
        <v>146.58155202944278</v>
      </c>
      <c r="G11" s="20">
        <v>19379</v>
      </c>
      <c r="H11" s="1">
        <v>21085</v>
      </c>
      <c r="J11" s="20"/>
    </row>
    <row r="12" spans="1:10" ht="14.25" customHeight="1" x14ac:dyDescent="0.25">
      <c r="A12" s="39" t="s">
        <v>36</v>
      </c>
      <c r="B12" s="38"/>
      <c r="C12" s="38"/>
      <c r="D12" s="38"/>
      <c r="E12" s="17"/>
      <c r="F12" s="24">
        <f>F11*0.302</f>
        <v>44.267628712891714</v>
      </c>
      <c r="G12" s="75">
        <f>(('ТХ дома'!B7+'ТХ дома'!B28*0.5)*0.0111/1000)*G9</f>
        <v>4.2081765000000007E-2</v>
      </c>
      <c r="H12" s="75">
        <f>(('ТХ дома'!B7+'ТХ дома'!B28*0.5)*0.00539/1000)*G9</f>
        <v>2.0434298500000003E-2</v>
      </c>
      <c r="I12" s="76"/>
    </row>
    <row r="13" spans="1:10" ht="14.25" customHeight="1" x14ac:dyDescent="0.25">
      <c r="A13" s="39" t="s">
        <v>37</v>
      </c>
      <c r="B13" s="38"/>
      <c r="C13" s="38"/>
      <c r="D13" s="38"/>
      <c r="E13" s="17"/>
      <c r="F13" s="98">
        <f>F10-F11-F12</f>
        <v>-29.120580742334489</v>
      </c>
      <c r="G13" s="75">
        <f>G12*0.109</f>
        <v>4.5869123850000009E-3</v>
      </c>
      <c r="H13" s="75">
        <f>H12*0.1339</f>
        <v>2.7361525691500001E-3</v>
      </c>
    </row>
    <row r="14" spans="1:10" ht="14.25" customHeight="1" x14ac:dyDescent="0.25">
      <c r="A14" s="39" t="s">
        <v>0</v>
      </c>
      <c r="B14" s="38"/>
      <c r="C14" s="38"/>
      <c r="D14" s="38"/>
      <c r="E14" s="17"/>
      <c r="F14" s="24"/>
      <c r="G14" s="97">
        <f>G11*G13</f>
        <v>88.889775108915018</v>
      </c>
      <c r="H14" s="97">
        <f>H11*H13</f>
        <v>57.691776920527751</v>
      </c>
    </row>
    <row r="15" spans="1:10" ht="33" customHeight="1" x14ac:dyDescent="0.25">
      <c r="A15" s="33" t="s">
        <v>4</v>
      </c>
      <c r="B15" s="38">
        <f>F15</f>
        <v>787.25739999999996</v>
      </c>
      <c r="C15" s="38">
        <f>B15*12</f>
        <v>9447.0887999999995</v>
      </c>
      <c r="D15" s="38">
        <f>SUM(D16:D19)</f>
        <v>0</v>
      </c>
      <c r="E15" s="17">
        <f>C15-D15</f>
        <v>9447.0887999999995</v>
      </c>
      <c r="F15" s="24">
        <f>тариф!C7</f>
        <v>787.25739999999996</v>
      </c>
      <c r="G15" s="1" t="s">
        <v>131</v>
      </c>
      <c r="H15" s="1" t="s">
        <v>132</v>
      </c>
      <c r="I15" s="1" t="s">
        <v>133</v>
      </c>
    </row>
    <row r="16" spans="1:10" ht="14.25" customHeight="1" x14ac:dyDescent="0.25">
      <c r="A16" s="40" t="s">
        <v>35</v>
      </c>
      <c r="B16" s="38"/>
      <c r="C16" s="38"/>
      <c r="D16" s="38"/>
      <c r="E16" s="17"/>
      <c r="F16" s="2">
        <f>G19+H19</f>
        <v>523.43851833323333</v>
      </c>
      <c r="G16" s="1">
        <v>21085</v>
      </c>
      <c r="H16" s="1">
        <v>19379</v>
      </c>
      <c r="I16" s="1">
        <v>16576</v>
      </c>
    </row>
    <row r="17" spans="1:9" ht="14.25" customHeight="1" x14ac:dyDescent="0.25">
      <c r="A17" s="40" t="s">
        <v>36</v>
      </c>
      <c r="B17" s="38"/>
      <c r="C17" s="38"/>
      <c r="D17" s="38"/>
      <c r="E17" s="17"/>
      <c r="F17" s="24">
        <f>F16*0.302</f>
        <v>158.07843253663646</v>
      </c>
      <c r="G17" s="75">
        <f>(('ТХ дома'!B7+'ТХ дома'!B28*0.5)*0.0018/1000)*G9</f>
        <v>6.8240699999999998E-3</v>
      </c>
      <c r="H17" s="75">
        <f>(('ТХ дома'!B7+'ТХ дома'!B28*0.5)*0.02295/1000)*G9</f>
        <v>8.7006892500000016E-2</v>
      </c>
      <c r="I17" s="75">
        <f>('ТХ дома'!B7+'ТХ дома'!B28*0.5)*0.02295/1000*G9</f>
        <v>8.7006892500000016E-2</v>
      </c>
    </row>
    <row r="18" spans="1:9" ht="14.25" customHeight="1" x14ac:dyDescent="0.25">
      <c r="A18" s="40" t="s">
        <v>37</v>
      </c>
      <c r="B18" s="38"/>
      <c r="C18" s="38"/>
      <c r="D18" s="38"/>
      <c r="E18" s="17"/>
      <c r="F18" s="24">
        <f>F15-F16-F17</f>
        <v>105.74044913013017</v>
      </c>
      <c r="G18" s="75">
        <f>G17*0.5079</f>
        <v>3.465945153E-3</v>
      </c>
      <c r="H18" s="75">
        <f>H17*0.2671</f>
        <v>2.3239540986750004E-2</v>
      </c>
      <c r="I18" s="20"/>
    </row>
    <row r="19" spans="1:9" ht="14.25" customHeight="1" x14ac:dyDescent="0.25">
      <c r="A19" s="40" t="s">
        <v>0</v>
      </c>
      <c r="B19" s="38"/>
      <c r="C19" s="38"/>
      <c r="D19" s="38"/>
      <c r="E19" s="17"/>
      <c r="F19" s="24"/>
      <c r="G19" s="97">
        <f>G16*G18</f>
        <v>73.079453551005003</v>
      </c>
      <c r="H19" s="97">
        <f>H16*H18</f>
        <v>450.3590647822283</v>
      </c>
      <c r="I19" s="77">
        <f>I18/2</f>
        <v>0</v>
      </c>
    </row>
    <row r="20" spans="1:9" ht="48.75" customHeight="1" x14ac:dyDescent="0.25">
      <c r="A20" s="33" t="s">
        <v>5</v>
      </c>
      <c r="B20" s="38">
        <f>F20</f>
        <v>75.517899999999997</v>
      </c>
      <c r="C20" s="38">
        <f>B20*12</f>
        <v>906.21479999999997</v>
      </c>
      <c r="D20" s="38">
        <f>SUM(D21:D24)</f>
        <v>0</v>
      </c>
      <c r="E20" s="17">
        <f>C20-D20</f>
        <v>906.21479999999997</v>
      </c>
      <c r="F20" s="24">
        <f>тариф!C8</f>
        <v>75.517899999999997</v>
      </c>
      <c r="G20" s="1" t="s">
        <v>130</v>
      </c>
    </row>
    <row r="21" spans="1:9" ht="15.75" x14ac:dyDescent="0.25">
      <c r="A21" s="40" t="s">
        <v>35</v>
      </c>
      <c r="B21" s="38"/>
      <c r="C21" s="38"/>
      <c r="D21" s="38"/>
      <c r="E21" s="17"/>
      <c r="F21" s="2">
        <f>G24</f>
        <v>77.766320682441602</v>
      </c>
      <c r="G21" s="1">
        <v>19379</v>
      </c>
    </row>
    <row r="22" spans="1:9" ht="15.75" x14ac:dyDescent="0.25">
      <c r="A22" s="40" t="s">
        <v>36</v>
      </c>
      <c r="B22" s="38"/>
      <c r="C22" s="38"/>
      <c r="D22" s="38"/>
      <c r="E22" s="17"/>
      <c r="F22" s="24">
        <f>F21*0.302</f>
        <v>23.485428846097363</v>
      </c>
      <c r="G22" s="75">
        <f>(('ТХ дома'!B7+'ТХ дома'!B28*0.5)*0.00888/1000)*G9</f>
        <v>3.3665412000000006E-2</v>
      </c>
    </row>
    <row r="23" spans="1:9" ht="15.75" x14ac:dyDescent="0.25">
      <c r="A23" s="40" t="s">
        <v>37</v>
      </c>
      <c r="B23" s="38"/>
      <c r="C23" s="38"/>
      <c r="D23" s="38"/>
      <c r="E23" s="17"/>
      <c r="F23" s="24">
        <f>F20-F21-F22</f>
        <v>-25.733849528538968</v>
      </c>
      <c r="G23" s="75">
        <f>G22*0.1192</f>
        <v>4.0129171104000003E-3</v>
      </c>
      <c r="H23" s="2"/>
    </row>
    <row r="24" spans="1:9" ht="15.75" x14ac:dyDescent="0.25">
      <c r="A24" s="40" t="s">
        <v>0</v>
      </c>
      <c r="B24" s="38"/>
      <c r="C24" s="38"/>
      <c r="D24" s="38"/>
      <c r="E24" s="17"/>
      <c r="F24" s="24"/>
      <c r="G24" s="97">
        <f>G21*G23</f>
        <v>77.766320682441602</v>
      </c>
    </row>
    <row r="25" spans="1:9" ht="15.75" x14ac:dyDescent="0.25">
      <c r="A25" s="33" t="s">
        <v>6</v>
      </c>
      <c r="B25" s="38">
        <f>F25</f>
        <v>871.46319999999992</v>
      </c>
      <c r="C25" s="38">
        <f>B25*12</f>
        <v>10457.558399999998</v>
      </c>
      <c r="D25" s="38">
        <f>SUM(D26:D29)</f>
        <v>0</v>
      </c>
      <c r="E25" s="17">
        <f>C25-D25</f>
        <v>10457.558399999998</v>
      </c>
      <c r="F25" s="24">
        <f>тариф!C9</f>
        <v>871.46319999999992</v>
      </c>
      <c r="G25" s="1" t="s">
        <v>91</v>
      </c>
    </row>
    <row r="26" spans="1:9" ht="15.75" x14ac:dyDescent="0.25">
      <c r="A26" s="40" t="s">
        <v>35</v>
      </c>
      <c r="B26" s="38"/>
      <c r="C26" s="38"/>
      <c r="D26" s="38"/>
      <c r="E26" s="17"/>
      <c r="F26" s="24">
        <f>G28</f>
        <v>268.01037828400001</v>
      </c>
      <c r="G26" s="1">
        <v>12188</v>
      </c>
    </row>
    <row r="27" spans="1:9" ht="15.75" x14ac:dyDescent="0.25">
      <c r="A27" s="40" t="s">
        <v>36</v>
      </c>
      <c r="B27" s="38"/>
      <c r="C27" s="38"/>
      <c r="D27" s="38"/>
      <c r="E27" s="17"/>
      <c r="F27" s="24">
        <f>F26*0.302</f>
        <v>80.939134241768002</v>
      </c>
      <c r="G27" s="75">
        <f>('ТХ дома'!B27*0.0263/1000)*G9</f>
        <v>2.1989693000000001E-2</v>
      </c>
    </row>
    <row r="28" spans="1:9" ht="15.75" x14ac:dyDescent="0.25">
      <c r="A28" s="40" t="s">
        <v>37</v>
      </c>
      <c r="B28" s="38"/>
      <c r="C28" s="38"/>
      <c r="D28" s="38"/>
      <c r="E28" s="17"/>
      <c r="F28" s="24">
        <f>F25-F26-F27</f>
        <v>522.51368747423192</v>
      </c>
      <c r="G28" s="97">
        <f>G26*G27</f>
        <v>268.01037828400001</v>
      </c>
      <c r="H28" s="2"/>
    </row>
    <row r="29" spans="1:9" ht="15.75" x14ac:dyDescent="0.25">
      <c r="A29" s="40" t="s">
        <v>0</v>
      </c>
      <c r="B29" s="38"/>
      <c r="C29" s="38"/>
      <c r="D29" s="38"/>
      <c r="E29" s="17"/>
      <c r="F29" s="24"/>
    </row>
    <row r="30" spans="1:9" ht="17.25" customHeight="1" x14ac:dyDescent="0.25">
      <c r="A30" s="33" t="s">
        <v>7</v>
      </c>
      <c r="B30" s="38">
        <f>F30</f>
        <v>876.47544999999991</v>
      </c>
      <c r="C30" s="38">
        <f>B30*12</f>
        <v>10517.705399999999</v>
      </c>
      <c r="D30" s="38">
        <f>SUM(D31:D34)</f>
        <v>0</v>
      </c>
      <c r="E30" s="17">
        <f>C30-D30</f>
        <v>10517.705399999999</v>
      </c>
      <c r="F30" s="24">
        <f>тариф!C10</f>
        <v>876.47544999999991</v>
      </c>
      <c r="G30" s="1" t="s">
        <v>136</v>
      </c>
    </row>
    <row r="31" spans="1:9" ht="15.75" x14ac:dyDescent="0.25">
      <c r="A31" s="40" t="s">
        <v>35</v>
      </c>
      <c r="B31" s="38"/>
      <c r="C31" s="38"/>
      <c r="D31" s="38"/>
      <c r="E31" s="17"/>
      <c r="F31" s="24">
        <f>G34</f>
        <v>228.72230922599528</v>
      </c>
      <c r="G31" s="1">
        <v>19379</v>
      </c>
    </row>
    <row r="32" spans="1:9" ht="15.75" x14ac:dyDescent="0.25">
      <c r="A32" s="40" t="s">
        <v>36</v>
      </c>
      <c r="B32" s="38"/>
      <c r="C32" s="38"/>
      <c r="D32" s="38"/>
      <c r="E32" s="17"/>
      <c r="F32" s="24">
        <f>F31*0.302</f>
        <v>69.07413738625057</v>
      </c>
      <c r="G32" s="75">
        <f>('ТХ дома'!B21/1000*0.0763)*G9</f>
        <v>7.6342728000000026E-2</v>
      </c>
      <c r="H32" s="1">
        <f>G31*G32</f>
        <v>1479.4457259120004</v>
      </c>
    </row>
    <row r="33" spans="1:8" ht="15.75" customHeight="1" x14ac:dyDescent="0.25">
      <c r="A33" s="40" t="s">
        <v>37</v>
      </c>
      <c r="B33" s="38"/>
      <c r="C33" s="38"/>
      <c r="D33" s="38"/>
      <c r="E33" s="17"/>
      <c r="F33" s="24">
        <f>F30-F31-F32</f>
        <v>578.67900338775405</v>
      </c>
      <c r="G33" s="75">
        <f>G32*0.1546</f>
        <v>1.1802585748800004E-2</v>
      </c>
      <c r="H33" s="2"/>
    </row>
    <row r="34" spans="1:8" ht="15.75" x14ac:dyDescent="0.25">
      <c r="A34" s="40" t="s">
        <v>0</v>
      </c>
      <c r="B34" s="38"/>
      <c r="C34" s="38"/>
      <c r="D34" s="38"/>
      <c r="E34" s="17"/>
      <c r="F34" s="24"/>
      <c r="G34" s="97">
        <f>G31*G33</f>
        <v>228.72230922599528</v>
      </c>
    </row>
    <row r="35" spans="1:8" ht="31.5" x14ac:dyDescent="0.25">
      <c r="A35" s="31" t="s">
        <v>8</v>
      </c>
      <c r="B35" s="17">
        <f>B36+B41+B46+B51+B56+B58+B60+B62</f>
        <v>9447.0887999999995</v>
      </c>
      <c r="C35" s="17">
        <f t="shared" ref="C35" si="1">C36+C41+C46+C51+C56+C58+C60+C62</f>
        <v>113365.06559999999</v>
      </c>
      <c r="D35" s="17">
        <f>D36+D41+D46+D51+D56+D58+D60+D62</f>
        <v>0</v>
      </c>
      <c r="E35" s="17">
        <f>C35-D35</f>
        <v>113365.06559999999</v>
      </c>
      <c r="F35" s="100"/>
      <c r="G35" s="100"/>
    </row>
    <row r="36" spans="1:8" ht="31.5" customHeight="1" x14ac:dyDescent="0.25">
      <c r="A36" s="33" t="s">
        <v>9</v>
      </c>
      <c r="B36" s="38">
        <f>F36</f>
        <v>2955.5567499999997</v>
      </c>
      <c r="C36" s="38">
        <f>B36*12</f>
        <v>35466.680999999997</v>
      </c>
      <c r="D36" s="38">
        <f>SUM(D37:D40)</f>
        <v>0</v>
      </c>
      <c r="E36" s="17">
        <f>C36-D36</f>
        <v>35466.680999999997</v>
      </c>
      <c r="F36" s="24">
        <f>тариф!C13</f>
        <v>2955.5567499999997</v>
      </c>
      <c r="G36" s="102" t="s">
        <v>137</v>
      </c>
      <c r="H36" s="1" t="s">
        <v>138</v>
      </c>
    </row>
    <row r="37" spans="1:8" ht="15.75" x14ac:dyDescent="0.25">
      <c r="A37" s="40" t="s">
        <v>35</v>
      </c>
      <c r="B37" s="38"/>
      <c r="C37" s="38"/>
      <c r="D37" s="38"/>
      <c r="E37" s="17"/>
      <c r="F37" s="24">
        <f>G40+H40</f>
        <v>1316.7747903239811</v>
      </c>
      <c r="G37" s="1">
        <v>22182</v>
      </c>
      <c r="H37" s="1">
        <v>22182</v>
      </c>
    </row>
    <row r="38" spans="1:8" ht="15.75" x14ac:dyDescent="0.25">
      <c r="A38" s="40" t="s">
        <v>36</v>
      </c>
      <c r="B38" s="38"/>
      <c r="C38" s="38"/>
      <c r="D38" s="38"/>
      <c r="E38" s="17"/>
      <c r="F38" s="24">
        <f>F37*0.302</f>
        <v>397.66598667784228</v>
      </c>
      <c r="G38" s="75">
        <f>'ТХ дома'!B14/325</f>
        <v>0.15384615384615385</v>
      </c>
      <c r="H38" s="75">
        <f>(('ТХ дома'!B7+'ТХ дома'!B28*0.5)*0.01631/1000)*G9</f>
        <v>6.1833656500000014E-2</v>
      </c>
    </row>
    <row r="39" spans="1:8" ht="15.75" x14ac:dyDescent="0.25">
      <c r="A39" s="40" t="s">
        <v>37</v>
      </c>
      <c r="B39" s="38"/>
      <c r="C39" s="38"/>
      <c r="D39" s="38"/>
      <c r="E39" s="17"/>
      <c r="F39" s="24">
        <f>F36-F37-F38</f>
        <v>1241.1159729981764</v>
      </c>
      <c r="G39" s="75">
        <f>G38*0.312746</f>
        <v>4.8114769230769239E-2</v>
      </c>
      <c r="H39" s="21">
        <f>H38*0.1819</f>
        <v>1.1247542117350002E-2</v>
      </c>
    </row>
    <row r="40" spans="1:8" ht="15.75" x14ac:dyDescent="0.25">
      <c r="A40" s="40" t="s">
        <v>0</v>
      </c>
      <c r="B40" s="38"/>
      <c r="C40" s="38"/>
      <c r="D40" s="38"/>
      <c r="E40" s="17"/>
      <c r="F40" s="24"/>
      <c r="G40" s="97">
        <f>G37*G39</f>
        <v>1067.2818110769233</v>
      </c>
      <c r="H40" s="97">
        <f>H37*H39</f>
        <v>249.49297924705775</v>
      </c>
    </row>
    <row r="41" spans="1:8" ht="18" customHeight="1" x14ac:dyDescent="0.25">
      <c r="A41" s="33" t="s">
        <v>10</v>
      </c>
      <c r="B41" s="38">
        <f>F41</f>
        <v>592.78210000000001</v>
      </c>
      <c r="C41" s="38">
        <f>B41*12</f>
        <v>7113.3852000000006</v>
      </c>
      <c r="D41" s="38">
        <f>SUM(D42:D45)</f>
        <v>0</v>
      </c>
      <c r="E41" s="17">
        <f>C41-D41</f>
        <v>7113.3852000000006</v>
      </c>
      <c r="F41" s="24">
        <f>тариф!C14</f>
        <v>592.78210000000001</v>
      </c>
      <c r="G41" s="1" t="s">
        <v>137</v>
      </c>
      <c r="H41" s="1" t="s">
        <v>138</v>
      </c>
    </row>
    <row r="42" spans="1:8" ht="15.75" x14ac:dyDescent="0.25">
      <c r="A42" s="40" t="s">
        <v>35</v>
      </c>
      <c r="B42" s="38"/>
      <c r="C42" s="38"/>
      <c r="D42" s="38"/>
      <c r="E42" s="17"/>
      <c r="F42" s="24">
        <f>G45</f>
        <v>646.1080335162161</v>
      </c>
      <c r="G42" s="1">
        <v>22182</v>
      </c>
      <c r="H42" s="1">
        <v>22182</v>
      </c>
    </row>
    <row r="43" spans="1:8" ht="14.25" customHeight="1" x14ac:dyDescent="0.25">
      <c r="A43" s="40" t="s">
        <v>36</v>
      </c>
      <c r="B43" s="38"/>
      <c r="C43" s="38"/>
      <c r="D43" s="38"/>
      <c r="E43" s="17"/>
      <c r="F43" s="24">
        <f>F42*0.302</f>
        <v>195.12462612189725</v>
      </c>
      <c r="G43" s="75">
        <f>('ТХ дома'!B7+'ТХ дома'!B28*0.5)/37000</f>
        <v>9.3148648648648649E-2</v>
      </c>
    </row>
    <row r="44" spans="1:8" ht="14.25" customHeight="1" x14ac:dyDescent="0.25">
      <c r="A44" s="40" t="s">
        <v>37</v>
      </c>
      <c r="B44" s="38"/>
      <c r="C44" s="38"/>
      <c r="D44" s="38"/>
      <c r="E44" s="17"/>
      <c r="F44" s="24">
        <f>F41-F42-F43</f>
        <v>-248.45055963811333</v>
      </c>
      <c r="G44" s="75">
        <f>G43*0.3127</f>
        <v>2.9127582432432429E-2</v>
      </c>
    </row>
    <row r="45" spans="1:8" ht="15.75" x14ac:dyDescent="0.25">
      <c r="A45" s="40" t="s">
        <v>0</v>
      </c>
      <c r="B45" s="38"/>
      <c r="C45" s="38"/>
      <c r="D45" s="38"/>
      <c r="E45" s="17"/>
      <c r="F45" s="24"/>
      <c r="G45" s="77">
        <f>G42*G44</f>
        <v>646.1080335162161</v>
      </c>
    </row>
    <row r="46" spans="1:8" ht="15.75" x14ac:dyDescent="0.25">
      <c r="A46" s="33" t="s">
        <v>11</v>
      </c>
      <c r="B46" s="38">
        <f>F46</f>
        <v>868.12169999999992</v>
      </c>
      <c r="C46" s="38">
        <f>B46*12</f>
        <v>10417.4604</v>
      </c>
      <c r="D46" s="38">
        <f>SUM(D47:D50)</f>
        <v>0</v>
      </c>
      <c r="E46" s="17">
        <f>C46-D46</f>
        <v>10417.4604</v>
      </c>
      <c r="F46" s="24">
        <f>тариф!C15</f>
        <v>868.12169999999992</v>
      </c>
      <c r="G46" s="1" t="s">
        <v>139</v>
      </c>
    </row>
    <row r="47" spans="1:8" ht="15.75" x14ac:dyDescent="0.25">
      <c r="A47" s="40" t="s">
        <v>35</v>
      </c>
      <c r="B47" s="38"/>
      <c r="C47" s="38"/>
      <c r="D47" s="38"/>
      <c r="E47" s="17"/>
      <c r="F47" s="24">
        <f>G49</f>
        <v>479.2045454545455</v>
      </c>
      <c r="G47" s="1">
        <v>21085</v>
      </c>
    </row>
    <row r="48" spans="1:8" ht="15.75" x14ac:dyDescent="0.25">
      <c r="A48" s="40" t="s">
        <v>36</v>
      </c>
      <c r="B48" s="38"/>
      <c r="C48" s="38"/>
      <c r="D48" s="38"/>
      <c r="E48" s="17"/>
      <c r="F48" s="24">
        <f>F47*0.302</f>
        <v>144.71977272727273</v>
      </c>
      <c r="G48" s="75">
        <f>'ТХ дома'!B16/2200</f>
        <v>2.2727272727272728E-2</v>
      </c>
    </row>
    <row r="49" spans="1:7" ht="15.75" x14ac:dyDescent="0.25">
      <c r="A49" s="40" t="s">
        <v>37</v>
      </c>
      <c r="B49" s="38"/>
      <c r="C49" s="38"/>
      <c r="D49" s="38"/>
      <c r="E49" s="17"/>
      <c r="F49" s="24">
        <f>F46-F47-F48</f>
        <v>244.1973818181817</v>
      </c>
      <c r="G49" s="77">
        <f>G47*G48</f>
        <v>479.2045454545455</v>
      </c>
    </row>
    <row r="50" spans="1:7" ht="15.75" x14ac:dyDescent="0.25">
      <c r="A50" s="40" t="s">
        <v>0</v>
      </c>
      <c r="B50" s="38"/>
      <c r="C50" s="38"/>
      <c r="D50" s="38"/>
      <c r="E50" s="17"/>
      <c r="F50" s="24"/>
    </row>
    <row r="51" spans="1:7" ht="16.5" customHeight="1" x14ac:dyDescent="0.25">
      <c r="A51" s="34" t="s">
        <v>12</v>
      </c>
      <c r="B51" s="38">
        <f>F51</f>
        <v>222.54390000000001</v>
      </c>
      <c r="C51" s="38">
        <f>B51*12</f>
        <v>2670.5268000000001</v>
      </c>
      <c r="D51" s="38">
        <f>SUM(D52:D55)</f>
        <v>0</v>
      </c>
      <c r="E51" s="17">
        <f>C51-D51</f>
        <v>2670.5268000000001</v>
      </c>
      <c r="F51" s="24">
        <f>тариф!C16</f>
        <v>222.54390000000001</v>
      </c>
      <c r="G51" s="1" t="s">
        <v>140</v>
      </c>
    </row>
    <row r="52" spans="1:7" ht="15.75" x14ac:dyDescent="0.25">
      <c r="A52" s="40" t="s">
        <v>70</v>
      </c>
      <c r="B52" s="38"/>
      <c r="C52" s="38"/>
      <c r="D52" s="38"/>
      <c r="E52" s="17"/>
      <c r="F52" s="24">
        <f>G55</f>
        <v>843.4</v>
      </c>
      <c r="G52" s="1">
        <v>21085</v>
      </c>
    </row>
    <row r="53" spans="1:7" ht="15.75" x14ac:dyDescent="0.25">
      <c r="A53" s="40" t="s">
        <v>36</v>
      </c>
      <c r="B53" s="38"/>
      <c r="C53" s="38"/>
      <c r="D53" s="38"/>
      <c r="E53" s="17"/>
      <c r="F53" s="24">
        <f>F52*0.302</f>
        <v>254.70679999999999</v>
      </c>
      <c r="G53" s="1">
        <v>1250</v>
      </c>
    </row>
    <row r="54" spans="1:7" ht="15.75" x14ac:dyDescent="0.25">
      <c r="A54" s="40" t="s">
        <v>37</v>
      </c>
      <c r="B54" s="38"/>
      <c r="C54" s="38"/>
      <c r="D54" s="38"/>
      <c r="E54" s="17"/>
      <c r="F54" s="24"/>
      <c r="G54" s="1">
        <f>'ТХ дома'!B12/G53</f>
        <v>0.04</v>
      </c>
    </row>
    <row r="55" spans="1:7" ht="15.75" x14ac:dyDescent="0.25">
      <c r="A55" s="40" t="s">
        <v>0</v>
      </c>
      <c r="B55" s="38"/>
      <c r="C55" s="38"/>
      <c r="D55" s="38"/>
      <c r="E55" s="17"/>
      <c r="F55" s="24"/>
      <c r="G55" s="77">
        <f>G52*G54</f>
        <v>843.4</v>
      </c>
    </row>
    <row r="56" spans="1:7" ht="31.5" x14ac:dyDescent="0.25">
      <c r="A56" s="33" t="s">
        <v>13</v>
      </c>
      <c r="B56" s="38">
        <f>B57</f>
        <v>0</v>
      </c>
      <c r="C56" s="38">
        <f t="shared" ref="C56:C74" si="2">B56*12</f>
        <v>0</v>
      </c>
      <c r="D56" s="38">
        <f>D57</f>
        <v>0</v>
      </c>
      <c r="E56" s="17">
        <f>C56-D56</f>
        <v>0</v>
      </c>
      <c r="F56" s="24">
        <f>тариф!C17</f>
        <v>0</v>
      </c>
    </row>
    <row r="57" spans="1:7" ht="15.75" x14ac:dyDescent="0.25">
      <c r="A57" s="41" t="s">
        <v>76</v>
      </c>
      <c r="B57" s="38">
        <f>F56</f>
        <v>0</v>
      </c>
      <c r="C57" s="38"/>
      <c r="D57" s="38"/>
      <c r="E57" s="17"/>
      <c r="F57" s="24"/>
    </row>
    <row r="58" spans="1:7" ht="15.75" x14ac:dyDescent="0.25">
      <c r="A58" s="33" t="s">
        <v>71</v>
      </c>
      <c r="B58" s="38">
        <f>B59</f>
        <v>4204.9435999999996</v>
      </c>
      <c r="C58" s="38">
        <f t="shared" si="2"/>
        <v>50459.323199999999</v>
      </c>
      <c r="D58" s="38">
        <f>D59</f>
        <v>0</v>
      </c>
      <c r="E58" s="17">
        <f>C58-D58</f>
        <v>50459.323199999999</v>
      </c>
      <c r="F58" s="24">
        <f>тариф!C18+тариф!C19</f>
        <v>4204.9435999999996</v>
      </c>
    </row>
    <row r="59" spans="1:7" ht="15.75" x14ac:dyDescent="0.25">
      <c r="A59" s="41" t="s">
        <v>77</v>
      </c>
      <c r="B59" s="38">
        <f>F58</f>
        <v>4204.9435999999996</v>
      </c>
      <c r="C59" s="38">
        <f t="shared" si="2"/>
        <v>50459.323199999999</v>
      </c>
      <c r="D59" s="38"/>
      <c r="E59" s="17"/>
      <c r="F59" s="24"/>
    </row>
    <row r="60" spans="1:7" ht="15.75" hidden="1" x14ac:dyDescent="0.25">
      <c r="A60" s="33" t="s">
        <v>15</v>
      </c>
      <c r="B60" s="38">
        <f>B61</f>
        <v>0</v>
      </c>
      <c r="C60" s="38">
        <f t="shared" si="2"/>
        <v>0</v>
      </c>
      <c r="D60" s="38"/>
      <c r="E60" s="17"/>
      <c r="F60" s="24">
        <f>0.7779*C121</f>
        <v>2599.3528500000002</v>
      </c>
      <c r="G60" s="1">
        <f>0.3917*B121</f>
        <v>1308.86555</v>
      </c>
    </row>
    <row r="61" spans="1:7" ht="31.5" hidden="1" x14ac:dyDescent="0.25">
      <c r="A61" s="41" t="s">
        <v>40</v>
      </c>
      <c r="B61" s="38"/>
      <c r="C61" s="38">
        <f t="shared" si="2"/>
        <v>0</v>
      </c>
      <c r="D61" s="38"/>
      <c r="E61" s="17"/>
      <c r="F61" s="24">
        <v>702.54</v>
      </c>
    </row>
    <row r="62" spans="1:7" ht="18.75" customHeight="1" x14ac:dyDescent="0.25">
      <c r="A62" s="34" t="s">
        <v>16</v>
      </c>
      <c r="B62" s="38">
        <f>B63</f>
        <v>603.14075000000003</v>
      </c>
      <c r="C62" s="38">
        <f t="shared" si="2"/>
        <v>7237.6890000000003</v>
      </c>
      <c r="D62" s="38">
        <f>D63</f>
        <v>0</v>
      </c>
      <c r="E62" s="17">
        <f>C62-D62</f>
        <v>7237.6890000000003</v>
      </c>
      <c r="F62" s="24">
        <f>тариф!C20</f>
        <v>603.14075000000003</v>
      </c>
    </row>
    <row r="63" spans="1:7" ht="17.25" customHeight="1" x14ac:dyDescent="0.25">
      <c r="A63" s="42" t="s">
        <v>39</v>
      </c>
      <c r="B63" s="38">
        <f>F62</f>
        <v>603.14075000000003</v>
      </c>
      <c r="C63" s="38">
        <f t="shared" si="2"/>
        <v>7237.6890000000003</v>
      </c>
      <c r="D63" s="38"/>
      <c r="E63" s="17"/>
      <c r="F63" s="24"/>
    </row>
    <row r="64" spans="1:7" ht="31.5" x14ac:dyDescent="0.25">
      <c r="A64" s="31" t="s">
        <v>17</v>
      </c>
      <c r="B64" s="18">
        <f>B65+B66+B71+B76+B81+B83</f>
        <v>16327.571449999999</v>
      </c>
      <c r="C64" s="18">
        <f t="shared" ref="C64:D64" si="3">C65+C66+C71+C76+C81+C83</f>
        <v>195930.85740000001</v>
      </c>
      <c r="D64" s="18">
        <f t="shared" si="3"/>
        <v>0</v>
      </c>
      <c r="E64" s="17">
        <f>C64-D64</f>
        <v>195930.85740000001</v>
      </c>
      <c r="F64" s="24"/>
      <c r="G64" s="29"/>
    </row>
    <row r="65" spans="1:7" ht="15.75" x14ac:dyDescent="0.25">
      <c r="A65" s="33" t="s">
        <v>18</v>
      </c>
      <c r="B65" s="50">
        <v>0</v>
      </c>
      <c r="C65" s="38">
        <f t="shared" si="2"/>
        <v>0</v>
      </c>
      <c r="D65" s="38">
        <v>0</v>
      </c>
      <c r="E65" s="17">
        <f t="shared" ref="E65:E71" si="4">C65-D65</f>
        <v>0</v>
      </c>
      <c r="F65" s="24"/>
    </row>
    <row r="66" spans="1:7" ht="18" customHeight="1" x14ac:dyDescent="0.25">
      <c r="A66" s="33" t="s">
        <v>19</v>
      </c>
      <c r="B66" s="38">
        <f>SUM(B67:B70)</f>
        <v>5904.0963499999998</v>
      </c>
      <c r="C66" s="38">
        <f>SUM(C67:C70)</f>
        <v>70849.156199999998</v>
      </c>
      <c r="D66" s="38">
        <f>SUM(D67:D70)</f>
        <v>0</v>
      </c>
      <c r="E66" s="17">
        <f t="shared" si="4"/>
        <v>70849.156199999998</v>
      </c>
      <c r="F66" s="24">
        <f>тариф!C23</f>
        <v>5904.0963499999998</v>
      </c>
      <c r="G66" s="1" t="s">
        <v>142</v>
      </c>
    </row>
    <row r="67" spans="1:7" ht="15.75" x14ac:dyDescent="0.25">
      <c r="A67" s="40" t="s">
        <v>144</v>
      </c>
      <c r="B67" s="38">
        <f>F67</f>
        <v>3538.0022857142853</v>
      </c>
      <c r="C67" s="38">
        <f>B67*12</f>
        <v>42456.027428571426</v>
      </c>
      <c r="D67" s="38"/>
      <c r="E67" s="17"/>
      <c r="F67" s="24">
        <f>G69</f>
        <v>3538.0022857142853</v>
      </c>
      <c r="G67" s="1">
        <v>12188</v>
      </c>
    </row>
    <row r="68" spans="1:7" ht="15.75" x14ac:dyDescent="0.25">
      <c r="A68" s="40" t="s">
        <v>36</v>
      </c>
      <c r="B68" s="38">
        <f>B67*0.302</f>
        <v>1068.4766902857141</v>
      </c>
      <c r="C68" s="38">
        <f t="shared" ref="C68:C69" si="5">B68*12</f>
        <v>12821.720283428569</v>
      </c>
      <c r="D68" s="38"/>
      <c r="E68" s="17"/>
      <c r="F68" s="24">
        <f>F67*0.302</f>
        <v>1068.4766902857141</v>
      </c>
      <c r="G68" s="101">
        <f>'ТХ дома'!B30/5250</f>
        <v>0.29028571428571426</v>
      </c>
    </row>
    <row r="69" spans="1:7" ht="15.75" x14ac:dyDescent="0.25">
      <c r="A69" s="40" t="s">
        <v>37</v>
      </c>
      <c r="B69" s="38">
        <f>F69</f>
        <v>1297.6173740000004</v>
      </c>
      <c r="C69" s="38">
        <f t="shared" si="5"/>
        <v>15571.408488000005</v>
      </c>
      <c r="D69" s="38"/>
      <c r="E69" s="17"/>
      <c r="F69" s="24">
        <f>F66-F67-F68</f>
        <v>1297.6173740000004</v>
      </c>
      <c r="G69" s="77">
        <f>G67*G68</f>
        <v>3538.0022857142853</v>
      </c>
    </row>
    <row r="70" spans="1:7" ht="15.75" x14ac:dyDescent="0.25">
      <c r="A70" s="40" t="s">
        <v>0</v>
      </c>
      <c r="B70" s="38"/>
      <c r="C70" s="38"/>
      <c r="D70" s="38"/>
      <c r="E70" s="17"/>
      <c r="F70" s="24"/>
    </row>
    <row r="71" spans="1:7" ht="15.75" x14ac:dyDescent="0.25">
      <c r="A71" s="33" t="s">
        <v>20</v>
      </c>
      <c r="B71" s="38">
        <f>SUM(B72:B75)</f>
        <v>631.87765000000002</v>
      </c>
      <c r="C71" s="38">
        <f t="shared" si="2"/>
        <v>7582.5318000000007</v>
      </c>
      <c r="D71" s="38">
        <v>0</v>
      </c>
      <c r="E71" s="17">
        <f t="shared" si="4"/>
        <v>7582.5318000000007</v>
      </c>
      <c r="F71" s="24">
        <f>тариф!C24</f>
        <v>631.87765000000002</v>
      </c>
      <c r="G71" s="1" t="s">
        <v>142</v>
      </c>
    </row>
    <row r="72" spans="1:7" ht="15.75" x14ac:dyDescent="0.25">
      <c r="A72" s="41" t="s">
        <v>144</v>
      </c>
      <c r="B72" s="38">
        <f>F72</f>
        <v>378.71725321888414</v>
      </c>
      <c r="C72" s="38">
        <f t="shared" si="2"/>
        <v>4544.6070386266092</v>
      </c>
      <c r="D72" s="38"/>
      <c r="E72" s="17"/>
      <c r="F72" s="24">
        <f>G74</f>
        <v>378.71725321888414</v>
      </c>
      <c r="G72" s="1">
        <v>12188</v>
      </c>
    </row>
    <row r="73" spans="1:7" ht="15.75" x14ac:dyDescent="0.25">
      <c r="A73" s="41" t="s">
        <v>36</v>
      </c>
      <c r="B73" s="38">
        <f>B72*0.302</f>
        <v>114.37261047210301</v>
      </c>
      <c r="C73" s="38">
        <f t="shared" si="2"/>
        <v>1372.471325665236</v>
      </c>
      <c r="D73" s="38"/>
      <c r="E73" s="17"/>
      <c r="F73" s="24">
        <f>F72*0.302</f>
        <v>114.37261047210301</v>
      </c>
      <c r="G73" s="75">
        <f>'ТХ дома'!B40/233</f>
        <v>3.1072961373390558E-2</v>
      </c>
    </row>
    <row r="74" spans="1:7" ht="15.75" x14ac:dyDescent="0.25">
      <c r="A74" s="41" t="s">
        <v>37</v>
      </c>
      <c r="B74" s="38">
        <f>F71-B72-B73</f>
        <v>138.78778630901286</v>
      </c>
      <c r="C74" s="38">
        <f t="shared" si="2"/>
        <v>1665.4534357081543</v>
      </c>
      <c r="D74" s="38"/>
      <c r="E74" s="17"/>
      <c r="F74" s="24">
        <f>F71-F72-F73</f>
        <v>138.78778630901286</v>
      </c>
      <c r="G74" s="77">
        <f>G72*G73</f>
        <v>378.71725321888414</v>
      </c>
    </row>
    <row r="75" spans="1:7" ht="15.75" x14ac:dyDescent="0.25">
      <c r="A75" s="41" t="s">
        <v>0</v>
      </c>
      <c r="B75" s="38"/>
      <c r="C75" s="38"/>
      <c r="D75" s="38"/>
      <c r="E75" s="17"/>
      <c r="F75" s="24"/>
    </row>
    <row r="76" spans="1:7" ht="15.75" x14ac:dyDescent="0.25">
      <c r="A76" s="33" t="s">
        <v>21</v>
      </c>
      <c r="B76" s="38">
        <f>SUM(B77:B80)</f>
        <v>0</v>
      </c>
      <c r="C76" s="38">
        <f>SUM(C77:C80)</f>
        <v>0</v>
      </c>
      <c r="D76" s="38">
        <f>SUM(D77:D80)</f>
        <v>0</v>
      </c>
      <c r="E76" s="17">
        <f>C76-D76</f>
        <v>0</v>
      </c>
      <c r="F76" s="24">
        <f>тариф!C25</f>
        <v>0</v>
      </c>
      <c r="G76" s="1" t="s">
        <v>143</v>
      </c>
    </row>
    <row r="77" spans="1:7" ht="15.75" x14ac:dyDescent="0.25">
      <c r="A77" s="40" t="s">
        <v>147</v>
      </c>
      <c r="B77" s="38">
        <f>F77</f>
        <v>0</v>
      </c>
      <c r="C77" s="38">
        <f>B77*12</f>
        <v>0</v>
      </c>
      <c r="D77" s="38"/>
      <c r="E77" s="17"/>
      <c r="F77" s="24">
        <f>G79</f>
        <v>0</v>
      </c>
      <c r="G77" s="75">
        <v>12188</v>
      </c>
    </row>
    <row r="78" spans="1:7" ht="15.75" x14ac:dyDescent="0.25">
      <c r="A78" s="40" t="s">
        <v>36</v>
      </c>
      <c r="B78" s="38">
        <f>B77*0.302</f>
        <v>0</v>
      </c>
      <c r="C78" s="38">
        <f t="shared" ref="C78:C79" si="6">B78*12</f>
        <v>0</v>
      </c>
      <c r="D78" s="38"/>
      <c r="E78" s="17"/>
      <c r="F78" s="24">
        <f>F77*0.302</f>
        <v>0</v>
      </c>
      <c r="G78" s="75"/>
    </row>
    <row r="79" spans="1:7" ht="15.75" x14ac:dyDescent="0.25">
      <c r="A79" s="40" t="s">
        <v>37</v>
      </c>
      <c r="B79" s="38">
        <f>F79</f>
        <v>0</v>
      </c>
      <c r="C79" s="38">
        <f t="shared" si="6"/>
        <v>0</v>
      </c>
      <c r="D79" s="38"/>
      <c r="E79" s="17"/>
      <c r="F79" s="24">
        <f>F76-F77-F78</f>
        <v>0</v>
      </c>
      <c r="G79" s="20">
        <f>G77*G78</f>
        <v>0</v>
      </c>
    </row>
    <row r="80" spans="1:7" ht="15.75" x14ac:dyDescent="0.25">
      <c r="A80" s="40" t="s">
        <v>0</v>
      </c>
      <c r="B80" s="38"/>
      <c r="C80" s="38"/>
      <c r="D80" s="38"/>
      <c r="E80" s="17"/>
      <c r="F80" s="24"/>
    </row>
    <row r="81" spans="1:7" ht="17.25" customHeight="1" x14ac:dyDescent="0.25">
      <c r="A81" s="33" t="s">
        <v>141</v>
      </c>
      <c r="B81" s="38">
        <f>B82</f>
        <v>5622.4079000000002</v>
      </c>
      <c r="C81" s="38">
        <f t="shared" ref="C81:C89" si="7">B81*12</f>
        <v>67468.894800000009</v>
      </c>
      <c r="D81" s="38">
        <f>D82</f>
        <v>0</v>
      </c>
      <c r="E81" s="17">
        <f>C81-D81</f>
        <v>67468.894800000009</v>
      </c>
      <c r="F81" s="24">
        <f>тариф!C26</f>
        <v>5622.4079000000002</v>
      </c>
      <c r="G81" s="20"/>
    </row>
    <row r="82" spans="1:7" ht="17.25" customHeight="1" x14ac:dyDescent="0.25">
      <c r="A82" s="41" t="s">
        <v>39</v>
      </c>
      <c r="B82" s="38">
        <f>F81</f>
        <v>5622.4079000000002</v>
      </c>
      <c r="C82" s="38">
        <f t="shared" si="7"/>
        <v>67468.894800000009</v>
      </c>
      <c r="D82" s="38"/>
      <c r="E82" s="17"/>
      <c r="F82" s="24"/>
    </row>
    <row r="83" spans="1:7" ht="15.75" x14ac:dyDescent="0.25">
      <c r="A83" s="33" t="s">
        <v>23</v>
      </c>
      <c r="B83" s="38">
        <f>F83</f>
        <v>4169.1895500000001</v>
      </c>
      <c r="C83" s="38">
        <f t="shared" si="7"/>
        <v>50030.274600000004</v>
      </c>
      <c r="D83" s="38">
        <f>SUM(D84:D87)</f>
        <v>0</v>
      </c>
      <c r="E83" s="17">
        <f>C83-D83</f>
        <v>50030.274600000004</v>
      </c>
      <c r="F83" s="24">
        <f>тариф!C27</f>
        <v>4169.1895500000001</v>
      </c>
    </row>
    <row r="84" spans="1:7" ht="15.75" x14ac:dyDescent="0.25">
      <c r="A84" s="40" t="s">
        <v>35</v>
      </c>
      <c r="B84" s="38"/>
      <c r="C84" s="38"/>
      <c r="D84" s="38"/>
      <c r="E84" s="17"/>
      <c r="F84" s="24"/>
    </row>
    <row r="85" spans="1:7" ht="15.75" x14ac:dyDescent="0.25">
      <c r="A85" s="40" t="s">
        <v>36</v>
      </c>
      <c r="B85" s="38"/>
      <c r="C85" s="38"/>
      <c r="D85" s="38"/>
      <c r="E85" s="17"/>
      <c r="F85" s="24"/>
    </row>
    <row r="86" spans="1:7" ht="15.75" x14ac:dyDescent="0.25">
      <c r="A86" s="40" t="s">
        <v>37</v>
      </c>
      <c r="B86" s="38"/>
      <c r="C86" s="38"/>
      <c r="D86" s="38"/>
      <c r="E86" s="17"/>
      <c r="F86" s="24"/>
    </row>
    <row r="87" spans="1:7" ht="15.75" x14ac:dyDescent="0.25">
      <c r="A87" s="40" t="s">
        <v>0</v>
      </c>
      <c r="B87" s="38"/>
      <c r="C87" s="38"/>
      <c r="D87" s="38"/>
      <c r="E87" s="17"/>
      <c r="F87" s="24"/>
    </row>
    <row r="88" spans="1:7" ht="15.75" hidden="1" x14ac:dyDescent="0.25">
      <c r="A88" s="31" t="s">
        <v>24</v>
      </c>
      <c r="B88" s="17"/>
      <c r="C88" s="17"/>
      <c r="D88" s="17"/>
      <c r="E88" s="17"/>
      <c r="F88" s="24"/>
      <c r="G88" s="1">
        <f>1.1426*B121</f>
        <v>3817.9979000000003</v>
      </c>
    </row>
    <row r="89" spans="1:7" ht="31.5" x14ac:dyDescent="0.25">
      <c r="A89" s="31" t="s">
        <v>72</v>
      </c>
      <c r="B89" s="17">
        <f>F89</f>
        <v>16283.46365</v>
      </c>
      <c r="C89" s="17">
        <f t="shared" si="7"/>
        <v>195401.5638</v>
      </c>
      <c r="D89" s="17">
        <f>D90+D100</f>
        <v>0</v>
      </c>
      <c r="E89" s="17">
        <f>C89-D89</f>
        <v>195401.5638</v>
      </c>
      <c r="F89" s="24">
        <f>тариф!C28+тариф!C29</f>
        <v>16283.46365</v>
      </c>
    </row>
    <row r="90" spans="1:7" ht="15.75" x14ac:dyDescent="0.25">
      <c r="A90" s="67" t="s">
        <v>66</v>
      </c>
      <c r="B90" s="17"/>
      <c r="C90" s="17"/>
      <c r="D90" s="17">
        <f>SUM(D91:D99)</f>
        <v>0</v>
      </c>
      <c r="E90" s="17"/>
      <c r="F90" s="24"/>
    </row>
    <row r="91" spans="1:7" ht="28.5" customHeight="1" x14ac:dyDescent="0.25">
      <c r="A91" s="69" t="s">
        <v>78</v>
      </c>
      <c r="B91" s="17"/>
      <c r="C91" s="17"/>
      <c r="D91" s="38">
        <f t="shared" ref="D91:D99" si="8">F91*$D$121*12</f>
        <v>0</v>
      </c>
      <c r="E91" s="17"/>
      <c r="F91" s="53"/>
    </row>
    <row r="92" spans="1:7" ht="15.75" x14ac:dyDescent="0.25">
      <c r="A92" s="69" t="s">
        <v>36</v>
      </c>
      <c r="B92" s="17"/>
      <c r="C92" s="17"/>
      <c r="D92" s="38">
        <f t="shared" si="8"/>
        <v>0</v>
      </c>
      <c r="E92" s="17"/>
      <c r="F92" s="53"/>
    </row>
    <row r="93" spans="1:7" ht="15.75" x14ac:dyDescent="0.25">
      <c r="A93" s="69" t="s">
        <v>49</v>
      </c>
      <c r="B93" s="17"/>
      <c r="C93" s="17"/>
      <c r="D93" s="38">
        <f t="shared" si="8"/>
        <v>0</v>
      </c>
      <c r="E93" s="17"/>
      <c r="F93" s="53"/>
    </row>
    <row r="94" spans="1:7" ht="15.75" x14ac:dyDescent="0.25">
      <c r="A94" s="69" t="s">
        <v>50</v>
      </c>
      <c r="B94" s="17"/>
      <c r="C94" s="17"/>
      <c r="D94" s="38">
        <f t="shared" si="8"/>
        <v>0</v>
      </c>
      <c r="E94" s="17"/>
      <c r="F94" s="53"/>
    </row>
    <row r="95" spans="1:7" ht="15.75" x14ac:dyDescent="0.25">
      <c r="A95" s="69" t="s">
        <v>86</v>
      </c>
      <c r="B95" s="17"/>
      <c r="C95" s="17"/>
      <c r="D95" s="38">
        <f t="shared" si="8"/>
        <v>0</v>
      </c>
      <c r="E95" s="17"/>
      <c r="F95" s="53"/>
    </row>
    <row r="96" spans="1:7" ht="15.75" x14ac:dyDescent="0.25">
      <c r="A96" s="69" t="s">
        <v>51</v>
      </c>
      <c r="B96" s="17"/>
      <c r="C96" s="17"/>
      <c r="D96" s="38">
        <f t="shared" si="8"/>
        <v>0</v>
      </c>
      <c r="E96" s="17"/>
      <c r="F96" s="53"/>
    </row>
    <row r="97" spans="1:6" ht="15.75" x14ac:dyDescent="0.25">
      <c r="A97" s="69" t="s">
        <v>52</v>
      </c>
      <c r="B97" s="17"/>
      <c r="C97" s="17"/>
      <c r="D97" s="38">
        <f t="shared" si="8"/>
        <v>0</v>
      </c>
      <c r="E97" s="17"/>
      <c r="F97" s="53"/>
    </row>
    <row r="98" spans="1:6" ht="15.75" x14ac:dyDescent="0.25">
      <c r="A98" s="69" t="s">
        <v>53</v>
      </c>
      <c r="B98" s="17"/>
      <c r="C98" s="17"/>
      <c r="D98" s="38">
        <f t="shared" si="8"/>
        <v>0</v>
      </c>
      <c r="E98" s="17"/>
      <c r="F98" s="53"/>
    </row>
    <row r="99" spans="1:6" ht="15.75" x14ac:dyDescent="0.25">
      <c r="A99" s="69" t="s">
        <v>0</v>
      </c>
      <c r="B99" s="17"/>
      <c r="C99" s="17"/>
      <c r="D99" s="38">
        <f t="shared" si="8"/>
        <v>0</v>
      </c>
      <c r="E99" s="17"/>
      <c r="F99" s="53"/>
    </row>
    <row r="100" spans="1:6" ht="15.75" x14ac:dyDescent="0.25">
      <c r="A100" s="67" t="s">
        <v>67</v>
      </c>
      <c r="B100" s="17"/>
      <c r="C100" s="17"/>
      <c r="D100" s="17">
        <f>D101+D102+D103+D117+D118+D119+D115</f>
        <v>0</v>
      </c>
      <c r="E100" s="17"/>
      <c r="F100" s="24"/>
    </row>
    <row r="101" spans="1:6" ht="32.25" customHeight="1" x14ac:dyDescent="0.25">
      <c r="A101" s="112" t="s">
        <v>84</v>
      </c>
      <c r="B101" s="17"/>
      <c r="C101" s="17"/>
      <c r="D101" s="38">
        <f t="shared" ref="D101:D113" si="9">F101*$D$121*12</f>
        <v>0</v>
      </c>
      <c r="E101" s="17"/>
      <c r="F101" s="53"/>
    </row>
    <row r="102" spans="1:6" ht="15.75" x14ac:dyDescent="0.25">
      <c r="A102" s="112" t="s">
        <v>36</v>
      </c>
      <c r="B102" s="17"/>
      <c r="C102" s="17"/>
      <c r="D102" s="38">
        <f t="shared" si="9"/>
        <v>0</v>
      </c>
      <c r="E102" s="17"/>
      <c r="F102" s="53"/>
    </row>
    <row r="103" spans="1:6" ht="28.5" x14ac:dyDescent="0.25">
      <c r="A103" s="112" t="s">
        <v>54</v>
      </c>
      <c r="B103" s="17"/>
      <c r="C103" s="17"/>
      <c r="D103" s="38">
        <f t="shared" si="9"/>
        <v>0</v>
      </c>
      <c r="E103" s="17"/>
      <c r="F103" s="53"/>
    </row>
    <row r="104" spans="1:6" ht="15.75" x14ac:dyDescent="0.25">
      <c r="A104" s="111" t="s">
        <v>55</v>
      </c>
      <c r="B104" s="17"/>
      <c r="C104" s="17"/>
      <c r="D104" s="38">
        <f t="shared" si="9"/>
        <v>0</v>
      </c>
      <c r="E104" s="17"/>
      <c r="F104" s="53"/>
    </row>
    <row r="105" spans="1:6" ht="15.75" x14ac:dyDescent="0.25">
      <c r="A105" s="111" t="s">
        <v>56</v>
      </c>
      <c r="B105" s="17"/>
      <c r="C105" s="17"/>
      <c r="D105" s="38">
        <f t="shared" si="9"/>
        <v>0</v>
      </c>
      <c r="E105" s="17"/>
      <c r="F105" s="53"/>
    </row>
    <row r="106" spans="1:6" ht="15.75" x14ac:dyDescent="0.25">
      <c r="A106" s="111" t="s">
        <v>57</v>
      </c>
      <c r="B106" s="17"/>
      <c r="C106" s="17"/>
      <c r="D106" s="38">
        <f t="shared" si="9"/>
        <v>0</v>
      </c>
      <c r="E106" s="17"/>
      <c r="F106" s="53"/>
    </row>
    <row r="107" spans="1:6" ht="15.75" x14ac:dyDescent="0.25">
      <c r="A107" s="111" t="s">
        <v>58</v>
      </c>
      <c r="B107" s="17"/>
      <c r="C107" s="17"/>
      <c r="D107" s="38">
        <f t="shared" si="9"/>
        <v>0</v>
      </c>
      <c r="E107" s="17"/>
      <c r="F107" s="53"/>
    </row>
    <row r="108" spans="1:6" ht="15.75" x14ac:dyDescent="0.25">
      <c r="A108" s="111" t="s">
        <v>59</v>
      </c>
      <c r="B108" s="17"/>
      <c r="C108" s="17"/>
      <c r="D108" s="38">
        <f t="shared" si="9"/>
        <v>0</v>
      </c>
      <c r="E108" s="17"/>
      <c r="F108" s="53"/>
    </row>
    <row r="109" spans="1:6" ht="15.75" x14ac:dyDescent="0.25">
      <c r="A109" s="111" t="s">
        <v>87</v>
      </c>
      <c r="B109" s="17"/>
      <c r="C109" s="17"/>
      <c r="D109" s="38">
        <f t="shared" si="9"/>
        <v>0</v>
      </c>
      <c r="E109" s="17"/>
      <c r="F109" s="53"/>
    </row>
    <row r="110" spans="1:6" ht="15.75" x14ac:dyDescent="0.25">
      <c r="A110" s="111" t="s">
        <v>60</v>
      </c>
      <c r="B110" s="17"/>
      <c r="C110" s="17"/>
      <c r="D110" s="38">
        <f t="shared" si="9"/>
        <v>0</v>
      </c>
      <c r="E110" s="17"/>
      <c r="F110" s="53"/>
    </row>
    <row r="111" spans="1:6" ht="18" customHeight="1" x14ac:dyDescent="0.25">
      <c r="A111" s="72" t="s">
        <v>61</v>
      </c>
      <c r="B111" s="17"/>
      <c r="C111" s="17"/>
      <c r="D111" s="38">
        <f t="shared" si="9"/>
        <v>0</v>
      </c>
      <c r="E111" s="17"/>
      <c r="F111" s="53"/>
    </row>
    <row r="112" spans="1:6" ht="15.75" x14ac:dyDescent="0.25">
      <c r="A112" s="111" t="s">
        <v>62</v>
      </c>
      <c r="B112" s="17"/>
      <c r="C112" s="17"/>
      <c r="D112" s="38">
        <f t="shared" si="9"/>
        <v>0</v>
      </c>
      <c r="E112" s="17"/>
      <c r="F112" s="53"/>
    </row>
    <row r="113" spans="1:7" ht="15.75" x14ac:dyDescent="0.25">
      <c r="A113" s="111" t="s">
        <v>63</v>
      </c>
      <c r="B113" s="17"/>
      <c r="C113" s="17"/>
      <c r="D113" s="38">
        <f t="shared" si="9"/>
        <v>0</v>
      </c>
      <c r="E113" s="17"/>
      <c r="F113" s="53"/>
    </row>
    <row r="114" spans="1:7" ht="15.75" x14ac:dyDescent="0.25">
      <c r="A114" s="111" t="s">
        <v>83</v>
      </c>
      <c r="B114" s="17"/>
      <c r="C114" s="17"/>
      <c r="D114" s="38">
        <f t="shared" ref="D114:D116" si="10">F114*$D$121*12</f>
        <v>0</v>
      </c>
      <c r="E114" s="17"/>
      <c r="F114" s="53"/>
    </row>
    <row r="115" spans="1:7" ht="15.75" x14ac:dyDescent="0.25">
      <c r="A115" s="73" t="s">
        <v>88</v>
      </c>
      <c r="B115" s="17"/>
      <c r="C115" s="17"/>
      <c r="D115" s="38">
        <f t="shared" si="10"/>
        <v>0</v>
      </c>
      <c r="E115" s="17"/>
      <c r="F115" s="53"/>
    </row>
    <row r="116" spans="1:7" ht="15.75" x14ac:dyDescent="0.25">
      <c r="A116" s="111" t="s">
        <v>89</v>
      </c>
      <c r="B116" s="17"/>
      <c r="C116" s="17"/>
      <c r="D116" s="38">
        <f t="shared" si="10"/>
        <v>0</v>
      </c>
      <c r="E116" s="17"/>
      <c r="F116" s="53"/>
    </row>
    <row r="117" spans="1:7" ht="13.5" customHeight="1" x14ac:dyDescent="0.25">
      <c r="A117" s="74" t="s">
        <v>90</v>
      </c>
      <c r="B117" s="17"/>
      <c r="C117" s="17"/>
      <c r="D117" s="38">
        <f>F117*$D$121*12</f>
        <v>0</v>
      </c>
      <c r="E117" s="17"/>
      <c r="F117" s="53"/>
    </row>
    <row r="118" spans="1:7" ht="15.75" x14ac:dyDescent="0.25">
      <c r="A118" s="70" t="s">
        <v>64</v>
      </c>
      <c r="B118" s="17"/>
      <c r="C118" s="17"/>
      <c r="D118" s="38">
        <f>F118*$D$121*12</f>
        <v>0</v>
      </c>
      <c r="E118" s="17"/>
      <c r="F118" s="53"/>
    </row>
    <row r="119" spans="1:7" ht="15.75" x14ac:dyDescent="0.25">
      <c r="A119" s="70" t="s">
        <v>65</v>
      </c>
      <c r="B119" s="17"/>
      <c r="C119" s="17"/>
      <c r="D119" s="38">
        <f>F119*$D$121*12</f>
        <v>0</v>
      </c>
      <c r="E119" s="17"/>
      <c r="F119" s="53"/>
    </row>
    <row r="120" spans="1:7" ht="15.75" x14ac:dyDescent="0.25">
      <c r="A120" s="35" t="s">
        <v>34</v>
      </c>
      <c r="B120" s="19">
        <f>B89+B88+B64+B35+B9</f>
        <v>44830.566449999998</v>
      </c>
      <c r="C120" s="19">
        <f>C89+C88+C64+C35+C9</f>
        <v>537966.79739999992</v>
      </c>
      <c r="D120" s="19">
        <f>D89+D88+D64+D35+D9</f>
        <v>0</v>
      </c>
      <c r="E120" s="17">
        <f>C120-D120</f>
        <v>537966.79739999992</v>
      </c>
      <c r="F120" s="55"/>
      <c r="G120" s="19"/>
    </row>
    <row r="121" spans="1:7" ht="15.75" x14ac:dyDescent="0.25">
      <c r="A121" s="31" t="s">
        <v>27</v>
      </c>
      <c r="B121" s="30">
        <f>тариф!B31</f>
        <v>3341.5</v>
      </c>
      <c r="C121" s="30">
        <f>тариф!B31</f>
        <v>3341.5</v>
      </c>
      <c r="D121" s="30">
        <f>тариф!B31</f>
        <v>3341.5</v>
      </c>
      <c r="E121" s="57"/>
      <c r="F121" s="16"/>
    </row>
    <row r="122" spans="1:7" ht="15.75" x14ac:dyDescent="0.25">
      <c r="A122" s="43" t="s">
        <v>38</v>
      </c>
      <c r="B122" s="44">
        <f>B120/B121</f>
        <v>13.4163</v>
      </c>
      <c r="C122" s="44">
        <f>C120/C121/12</f>
        <v>13.416299999999998</v>
      </c>
      <c r="D122" s="44"/>
      <c r="E122" s="46"/>
      <c r="F122" s="21"/>
    </row>
    <row r="123" spans="1:7" ht="15.75" x14ac:dyDescent="0.25">
      <c r="A123" s="45"/>
      <c r="B123" s="52"/>
      <c r="C123" s="52"/>
      <c r="D123" s="52"/>
      <c r="E123" s="52"/>
      <c r="F123" s="21"/>
    </row>
    <row r="124" spans="1:7" ht="15.75" hidden="1" x14ac:dyDescent="0.25">
      <c r="A124" s="45"/>
      <c r="B124" s="52"/>
      <c r="C124" s="52"/>
      <c r="D124" s="52"/>
      <c r="E124" s="52"/>
      <c r="F124" s="21"/>
    </row>
    <row r="125" spans="1:7" ht="18.75" hidden="1" x14ac:dyDescent="0.3">
      <c r="A125" s="48" t="s">
        <v>47</v>
      </c>
      <c r="B125" s="1" t="s">
        <v>32</v>
      </c>
      <c r="C125" s="49" t="s">
        <v>48</v>
      </c>
      <c r="D125" s="49"/>
      <c r="E125" s="49"/>
      <c r="F125" s="1"/>
    </row>
    <row r="126" spans="1:7" ht="15.75" x14ac:dyDescent="0.25">
      <c r="A126" s="32"/>
      <c r="B126" s="51"/>
      <c r="C126" s="51"/>
      <c r="D126" s="51"/>
      <c r="E126" s="51"/>
    </row>
    <row r="127" spans="1:7" ht="15.75" x14ac:dyDescent="0.25">
      <c r="A127" s="15" t="s">
        <v>31</v>
      </c>
      <c r="B127" s="47" t="s">
        <v>45</v>
      </c>
      <c r="C127" s="47"/>
      <c r="D127" s="47" t="s">
        <v>73</v>
      </c>
      <c r="E127" s="47"/>
    </row>
    <row r="128" spans="1:7" ht="15.75" x14ac:dyDescent="0.25">
      <c r="A128" s="32"/>
      <c r="B128" s="51"/>
      <c r="C128" s="51"/>
      <c r="D128" s="51"/>
      <c r="E128" s="51"/>
    </row>
  </sheetData>
  <mergeCells count="5">
    <mergeCell ref="A2:E2"/>
    <mergeCell ref="A3:E3"/>
    <mergeCell ref="B4:E4"/>
    <mergeCell ref="A5:A7"/>
    <mergeCell ref="B5:C5"/>
  </mergeCells>
  <pageMargins left="0.7" right="0.7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topLeftCell="D32" zoomScaleNormal="100" workbookViewId="0">
      <selection activeCell="H39" sqref="H39"/>
    </sheetView>
  </sheetViews>
  <sheetFormatPr defaultRowHeight="15" x14ac:dyDescent="0.25"/>
  <cols>
    <col min="1" max="1" width="58.42578125" style="1" customWidth="1"/>
    <col min="2" max="2" width="13.140625" style="2" customWidth="1"/>
    <col min="3" max="3" width="12.42578125" style="2" customWidth="1"/>
    <col min="4" max="4" width="14.28515625" style="2" customWidth="1"/>
    <col min="5" max="5" width="20.140625" style="2" customWidth="1"/>
    <col min="6" max="6" width="21" style="2" customWidth="1"/>
    <col min="7" max="7" width="21.5703125" style="1" customWidth="1"/>
    <col min="8" max="8" width="11.5703125" style="1" customWidth="1"/>
    <col min="9" max="9" width="12.85546875" style="1" customWidth="1"/>
    <col min="10" max="12" width="9.140625" style="1" customWidth="1"/>
    <col min="13" max="16384" width="9.140625" style="1"/>
  </cols>
  <sheetData>
    <row r="1" spans="1:10" ht="28.5" customHeight="1" x14ac:dyDescent="0.25">
      <c r="A1" s="36" t="s">
        <v>46</v>
      </c>
    </row>
    <row r="2" spans="1:10" ht="25.5" customHeight="1" x14ac:dyDescent="0.25">
      <c r="A2" s="154" t="s">
        <v>74</v>
      </c>
      <c r="B2" s="154"/>
      <c r="C2" s="154"/>
      <c r="D2" s="154"/>
      <c r="E2" s="154"/>
      <c r="F2" s="22"/>
    </row>
    <row r="3" spans="1:10" ht="24.75" customHeight="1" x14ac:dyDescent="0.25">
      <c r="A3" s="155" t="s">
        <v>75</v>
      </c>
      <c r="B3" s="155"/>
      <c r="C3" s="155"/>
      <c r="D3" s="155"/>
      <c r="E3" s="155"/>
      <c r="F3" s="22"/>
    </row>
    <row r="4" spans="1:10" ht="25.5" customHeight="1" x14ac:dyDescent="0.25">
      <c r="A4" s="61" t="s">
        <v>1</v>
      </c>
      <c r="B4" s="156" t="str">
        <f>тариф!D2</f>
        <v>Тимирязева, 35/1/2/3/4</v>
      </c>
      <c r="C4" s="157"/>
      <c r="D4" s="157"/>
      <c r="E4" s="158"/>
      <c r="F4" s="27"/>
    </row>
    <row r="5" spans="1:10" ht="25.5" customHeight="1" x14ac:dyDescent="0.25">
      <c r="A5" s="159" t="s">
        <v>30</v>
      </c>
      <c r="B5" s="162" t="s">
        <v>43</v>
      </c>
      <c r="C5" s="163"/>
      <c r="D5" s="54" t="s">
        <v>44</v>
      </c>
      <c r="E5" s="54" t="s">
        <v>68</v>
      </c>
    </row>
    <row r="6" spans="1:10" ht="21.75" customHeight="1" x14ac:dyDescent="0.25">
      <c r="A6" s="160"/>
      <c r="B6" s="26" t="s">
        <v>42</v>
      </c>
      <c r="C6" s="26" t="s">
        <v>41</v>
      </c>
      <c r="D6" s="26" t="s">
        <v>41</v>
      </c>
      <c r="E6" s="26" t="s">
        <v>69</v>
      </c>
      <c r="F6" s="28"/>
    </row>
    <row r="7" spans="1:10" ht="15.75" x14ac:dyDescent="0.25">
      <c r="A7" s="161"/>
      <c r="B7" s="37" t="s">
        <v>33</v>
      </c>
      <c r="C7" s="37" t="s">
        <v>33</v>
      </c>
      <c r="D7" s="37" t="s">
        <v>33</v>
      </c>
      <c r="E7" s="37" t="s">
        <v>33</v>
      </c>
      <c r="F7" s="23"/>
    </row>
    <row r="8" spans="1:10" ht="15.75" x14ac:dyDescent="0.25">
      <c r="A8" s="58">
        <v>1</v>
      </c>
      <c r="B8" s="59">
        <v>2</v>
      </c>
      <c r="C8" s="59">
        <v>3</v>
      </c>
      <c r="D8" s="59">
        <v>4</v>
      </c>
      <c r="E8" s="59">
        <v>5</v>
      </c>
      <c r="F8" s="23"/>
      <c r="G8" s="116" t="s">
        <v>148</v>
      </c>
    </row>
    <row r="9" spans="1:10" ht="17.25" customHeight="1" x14ac:dyDescent="0.25">
      <c r="A9" s="31" t="s">
        <v>2</v>
      </c>
      <c r="B9" s="17">
        <f>B10+B15+B20+B25+B30</f>
        <v>2772.4425499999998</v>
      </c>
      <c r="C9" s="17">
        <f>C10+C15+C20+C25+C30</f>
        <v>33269.310599999997</v>
      </c>
      <c r="D9" s="17">
        <f t="shared" ref="D9" si="0">D10+D15+D20+D25+D30</f>
        <v>0</v>
      </c>
      <c r="E9" s="17">
        <f>C9-D9</f>
        <v>33269.310599999997</v>
      </c>
      <c r="F9" s="25"/>
      <c r="G9" s="114">
        <v>1.1000000000000001</v>
      </c>
    </row>
    <row r="10" spans="1:10" ht="65.25" customHeight="1" x14ac:dyDescent="0.25">
      <c r="A10" s="33" t="s">
        <v>149</v>
      </c>
      <c r="B10" s="38">
        <f>F10</f>
        <v>161.7286</v>
      </c>
      <c r="C10" s="38">
        <f>B10*12</f>
        <v>1940.7431999999999</v>
      </c>
      <c r="D10" s="38">
        <f>SUM(D11:D14)</f>
        <v>0</v>
      </c>
      <c r="E10" s="17">
        <f>C10-D10</f>
        <v>1940.7431999999999</v>
      </c>
      <c r="F10" s="24">
        <f>тариф!E6</f>
        <v>161.7286</v>
      </c>
      <c r="G10" s="1" t="s">
        <v>134</v>
      </c>
      <c r="H10" s="1" t="s">
        <v>135</v>
      </c>
    </row>
    <row r="11" spans="1:10" ht="15.75" customHeight="1" x14ac:dyDescent="0.25">
      <c r="A11" s="39" t="s">
        <v>35</v>
      </c>
      <c r="B11" s="38"/>
      <c r="C11" s="38"/>
      <c r="D11" s="38"/>
      <c r="E11" s="17"/>
      <c r="F11" s="24">
        <f>G14+H14</f>
        <v>146.58155202944278</v>
      </c>
      <c r="G11" s="20">
        <v>19379</v>
      </c>
      <c r="H11" s="1">
        <v>21085</v>
      </c>
      <c r="J11" s="20"/>
    </row>
    <row r="12" spans="1:10" ht="14.25" customHeight="1" x14ac:dyDescent="0.25">
      <c r="A12" s="39" t="s">
        <v>36</v>
      </c>
      <c r="B12" s="38"/>
      <c r="C12" s="38"/>
      <c r="D12" s="38"/>
      <c r="E12" s="17"/>
      <c r="F12" s="24">
        <f>F11*0.302</f>
        <v>44.267628712891714</v>
      </c>
      <c r="G12" s="75">
        <f>(('ТХ дома'!B7+'ТХ дома'!B28*0.5)*0.0111/1000)*G9</f>
        <v>4.2081765000000007E-2</v>
      </c>
      <c r="H12" s="75">
        <f>(('ТХ дома'!B7+'ТХ дома'!B28*0.5)*0.00539/1000)*G9</f>
        <v>2.0434298500000003E-2</v>
      </c>
      <c r="I12" s="76"/>
    </row>
    <row r="13" spans="1:10" ht="14.25" customHeight="1" x14ac:dyDescent="0.25">
      <c r="A13" s="39" t="s">
        <v>37</v>
      </c>
      <c r="B13" s="38"/>
      <c r="C13" s="38"/>
      <c r="D13" s="38"/>
      <c r="E13" s="17"/>
      <c r="F13" s="24">
        <f>F10-F11-F12</f>
        <v>-29.120580742334489</v>
      </c>
      <c r="G13" s="75">
        <f>G12*0.109</f>
        <v>4.5869123850000009E-3</v>
      </c>
      <c r="H13" s="75">
        <f>H12*0.1339</f>
        <v>2.7361525691500001E-3</v>
      </c>
    </row>
    <row r="14" spans="1:10" ht="14.25" customHeight="1" x14ac:dyDescent="0.25">
      <c r="A14" s="39" t="s">
        <v>0</v>
      </c>
      <c r="B14" s="38"/>
      <c r="C14" s="38"/>
      <c r="D14" s="38"/>
      <c r="E14" s="17"/>
      <c r="F14" s="24"/>
      <c r="G14" s="97">
        <f>G11*G13</f>
        <v>88.889775108915018</v>
      </c>
      <c r="H14" s="97">
        <f>H11*H13</f>
        <v>57.691776920527751</v>
      </c>
    </row>
    <row r="15" spans="1:10" ht="33" customHeight="1" x14ac:dyDescent="0.25">
      <c r="A15" s="33" t="s">
        <v>4</v>
      </c>
      <c r="B15" s="38">
        <f>F15</f>
        <v>787.25739999999996</v>
      </c>
      <c r="C15" s="38">
        <f>B15*12</f>
        <v>9447.0887999999995</v>
      </c>
      <c r="D15" s="38">
        <f>SUM(D16:D19)</f>
        <v>0</v>
      </c>
      <c r="E15" s="17">
        <f>C15-D15</f>
        <v>9447.0887999999995</v>
      </c>
      <c r="F15" s="24">
        <f>тариф!E7</f>
        <v>787.25739999999996</v>
      </c>
      <c r="G15" s="1" t="s">
        <v>131</v>
      </c>
      <c r="H15" s="1" t="s">
        <v>132</v>
      </c>
      <c r="I15" s="1" t="s">
        <v>133</v>
      </c>
    </row>
    <row r="16" spans="1:10" ht="14.25" customHeight="1" x14ac:dyDescent="0.25">
      <c r="A16" s="40" t="s">
        <v>35</v>
      </c>
      <c r="B16" s="38"/>
      <c r="C16" s="38"/>
      <c r="D16" s="38"/>
      <c r="E16" s="17"/>
      <c r="F16" s="2">
        <f>G19+H19</f>
        <v>523.43851833323333</v>
      </c>
      <c r="G16" s="1">
        <v>21085</v>
      </c>
      <c r="H16" s="1">
        <v>19379</v>
      </c>
      <c r="I16" s="1">
        <v>16576</v>
      </c>
    </row>
    <row r="17" spans="1:9" ht="14.25" customHeight="1" x14ac:dyDescent="0.25">
      <c r="A17" s="40" t="s">
        <v>36</v>
      </c>
      <c r="B17" s="38"/>
      <c r="C17" s="38"/>
      <c r="D17" s="38"/>
      <c r="E17" s="17"/>
      <c r="F17" s="24">
        <f>F16*0.302</f>
        <v>158.07843253663646</v>
      </c>
      <c r="G17" s="75">
        <f>(('ТХ дома'!B7+'ТХ дома'!B28*0.5)*0.0018/1000)*G9</f>
        <v>6.8240699999999998E-3</v>
      </c>
      <c r="H17" s="75">
        <f>(('ТХ дома'!B7+'ТХ дома'!B28*0.5)*0.02295/1000)*G9</f>
        <v>8.7006892500000016E-2</v>
      </c>
      <c r="I17" s="75">
        <f>('ТХ дома'!B7+'ТХ дома'!B28*0.5)*0.02295/1000*G9</f>
        <v>8.7006892500000016E-2</v>
      </c>
    </row>
    <row r="18" spans="1:9" ht="14.25" customHeight="1" x14ac:dyDescent="0.25">
      <c r="A18" s="40" t="s">
        <v>37</v>
      </c>
      <c r="B18" s="38"/>
      <c r="C18" s="38"/>
      <c r="D18" s="38"/>
      <c r="E18" s="17"/>
      <c r="F18" s="24">
        <f>F15-F16-F17</f>
        <v>105.74044913013017</v>
      </c>
      <c r="G18" s="75">
        <f>G17*0.5079</f>
        <v>3.465945153E-3</v>
      </c>
      <c r="H18" s="75">
        <f>H17*0.2671</f>
        <v>2.3239540986750004E-2</v>
      </c>
      <c r="I18" s="20"/>
    </row>
    <row r="19" spans="1:9" ht="14.25" customHeight="1" x14ac:dyDescent="0.25">
      <c r="A19" s="40" t="s">
        <v>0</v>
      </c>
      <c r="B19" s="38"/>
      <c r="C19" s="38"/>
      <c r="D19" s="38"/>
      <c r="E19" s="17"/>
      <c r="F19" s="24"/>
      <c r="G19" s="97">
        <f>G16*G18</f>
        <v>73.079453551005003</v>
      </c>
      <c r="H19" s="97">
        <f>H16*H18</f>
        <v>450.3590647822283</v>
      </c>
      <c r="I19" s="77">
        <f>I18/2</f>
        <v>0</v>
      </c>
    </row>
    <row r="20" spans="1:9" ht="48.75" customHeight="1" x14ac:dyDescent="0.25">
      <c r="A20" s="33" t="s">
        <v>5</v>
      </c>
      <c r="B20" s="38">
        <f>F20</f>
        <v>75.517899999999997</v>
      </c>
      <c r="C20" s="38">
        <f>B20*12</f>
        <v>906.21479999999997</v>
      </c>
      <c r="D20" s="38">
        <f>SUM(D21:D24)</f>
        <v>0</v>
      </c>
      <c r="E20" s="17">
        <f>C20-D20</f>
        <v>906.21479999999997</v>
      </c>
      <c r="F20" s="24">
        <f>тариф!E8</f>
        <v>75.517899999999997</v>
      </c>
      <c r="G20" s="1" t="s">
        <v>130</v>
      </c>
    </row>
    <row r="21" spans="1:9" ht="15.75" x14ac:dyDescent="0.25">
      <c r="A21" s="40" t="s">
        <v>35</v>
      </c>
      <c r="B21" s="38"/>
      <c r="C21" s="38"/>
      <c r="D21" s="38"/>
      <c r="E21" s="17"/>
      <c r="F21" s="2">
        <f>G24</f>
        <v>77.766320682441602</v>
      </c>
      <c r="G21" s="1">
        <v>19379</v>
      </c>
    </row>
    <row r="22" spans="1:9" ht="15.75" x14ac:dyDescent="0.25">
      <c r="A22" s="40" t="s">
        <v>36</v>
      </c>
      <c r="B22" s="38"/>
      <c r="C22" s="38"/>
      <c r="D22" s="38"/>
      <c r="E22" s="17"/>
      <c r="F22" s="24">
        <f>F21*0.302</f>
        <v>23.485428846097363</v>
      </c>
      <c r="G22" s="75">
        <f>(('ТХ дома'!B7+'ТХ дома'!B28*0.5)*0.00888/1000)*G9</f>
        <v>3.3665412000000006E-2</v>
      </c>
    </row>
    <row r="23" spans="1:9" ht="15.75" x14ac:dyDescent="0.25">
      <c r="A23" s="40" t="s">
        <v>37</v>
      </c>
      <c r="B23" s="38"/>
      <c r="C23" s="38"/>
      <c r="D23" s="38"/>
      <c r="E23" s="17"/>
      <c r="F23" s="24">
        <f>F20-F21-F22</f>
        <v>-25.733849528538968</v>
      </c>
      <c r="G23" s="75">
        <f>G22*0.1192</f>
        <v>4.0129171104000003E-3</v>
      </c>
      <c r="H23" s="2"/>
    </row>
    <row r="24" spans="1:9" ht="15.75" x14ac:dyDescent="0.25">
      <c r="A24" s="40" t="s">
        <v>0</v>
      </c>
      <c r="B24" s="38"/>
      <c r="C24" s="38"/>
      <c r="D24" s="38"/>
      <c r="E24" s="17"/>
      <c r="F24" s="24"/>
      <c r="G24" s="97">
        <f>G21*G23</f>
        <v>77.766320682441602</v>
      </c>
    </row>
    <row r="25" spans="1:9" ht="15.75" x14ac:dyDescent="0.25">
      <c r="A25" s="33" t="s">
        <v>6</v>
      </c>
      <c r="B25" s="38">
        <f>F25</f>
        <v>871.46319999999992</v>
      </c>
      <c r="C25" s="38">
        <f>B25*12</f>
        <v>10457.558399999998</v>
      </c>
      <c r="D25" s="38">
        <f>SUM(D26:D29)</f>
        <v>0</v>
      </c>
      <c r="E25" s="17">
        <f>C25-D25</f>
        <v>10457.558399999998</v>
      </c>
      <c r="F25" s="24">
        <f>тариф!E9</f>
        <v>871.46319999999992</v>
      </c>
      <c r="G25" s="1" t="s">
        <v>91</v>
      </c>
    </row>
    <row r="26" spans="1:9" ht="15.75" x14ac:dyDescent="0.25">
      <c r="A26" s="40" t="s">
        <v>35</v>
      </c>
      <c r="B26" s="38"/>
      <c r="C26" s="38"/>
      <c r="D26" s="38"/>
      <c r="E26" s="17"/>
      <c r="F26" s="24">
        <f>G28</f>
        <v>243.64579843999999</v>
      </c>
      <c r="G26" s="1">
        <v>12188</v>
      </c>
    </row>
    <row r="27" spans="1:9" ht="15.75" x14ac:dyDescent="0.25">
      <c r="A27" s="40" t="s">
        <v>36</v>
      </c>
      <c r="B27" s="38"/>
      <c r="C27" s="38"/>
      <c r="D27" s="38"/>
      <c r="E27" s="17"/>
      <c r="F27" s="24">
        <f>F26*0.302</f>
        <v>73.581031128879999</v>
      </c>
      <c r="G27" s="75">
        <f>('ТХ дома'!B27*0.0263/1000)</f>
        <v>1.9990629999999999E-2</v>
      </c>
    </row>
    <row r="28" spans="1:9" ht="15.75" x14ac:dyDescent="0.25">
      <c r="A28" s="40" t="s">
        <v>37</v>
      </c>
      <c r="B28" s="38"/>
      <c r="C28" s="38"/>
      <c r="D28" s="38"/>
      <c r="E28" s="17"/>
      <c r="F28" s="24">
        <f>F25-F26-F27</f>
        <v>554.23637043111989</v>
      </c>
      <c r="G28" s="97">
        <f>G26*G27</f>
        <v>243.64579843999999</v>
      </c>
      <c r="H28" s="2"/>
    </row>
    <row r="29" spans="1:9" ht="15.75" x14ac:dyDescent="0.25">
      <c r="A29" s="40" t="s">
        <v>0</v>
      </c>
      <c r="B29" s="38"/>
      <c r="C29" s="38"/>
      <c r="D29" s="38"/>
      <c r="E29" s="17"/>
      <c r="F29" s="24"/>
    </row>
    <row r="30" spans="1:9" ht="31.5" x14ac:dyDescent="0.25">
      <c r="A30" s="33" t="s">
        <v>7</v>
      </c>
      <c r="B30" s="38">
        <f>F30</f>
        <v>876.47544999999991</v>
      </c>
      <c r="C30" s="38">
        <f>B30*12</f>
        <v>10517.705399999999</v>
      </c>
      <c r="D30" s="38">
        <f>SUM(D31:D34)</f>
        <v>0</v>
      </c>
      <c r="E30" s="17">
        <f>C30-D30</f>
        <v>10517.705399999999</v>
      </c>
      <c r="F30" s="24">
        <f>тариф!E10</f>
        <v>876.47544999999991</v>
      </c>
      <c r="G30" s="1" t="s">
        <v>136</v>
      </c>
    </row>
    <row r="31" spans="1:9" ht="15.75" x14ac:dyDescent="0.25">
      <c r="A31" s="40" t="s">
        <v>35</v>
      </c>
      <c r="B31" s="38"/>
      <c r="C31" s="38"/>
      <c r="D31" s="38"/>
      <c r="E31" s="17"/>
      <c r="F31" s="24">
        <f>G34</f>
        <v>228.72230922599528</v>
      </c>
      <c r="G31" s="1">
        <v>19379</v>
      </c>
    </row>
    <row r="32" spans="1:9" ht="15.75" x14ac:dyDescent="0.25">
      <c r="A32" s="40" t="s">
        <v>36</v>
      </c>
      <c r="B32" s="38"/>
      <c r="C32" s="38"/>
      <c r="D32" s="38"/>
      <c r="E32" s="17"/>
      <c r="F32" s="24">
        <f>F31*0.302</f>
        <v>69.07413738625057</v>
      </c>
      <c r="G32" s="75">
        <f>('ТХ дома'!B21/1000*0.0763)*G9</f>
        <v>7.6342728000000026E-2</v>
      </c>
      <c r="H32" s="1">
        <f>G31*G32</f>
        <v>1479.4457259120004</v>
      </c>
    </row>
    <row r="33" spans="1:8" ht="16.5" customHeight="1" x14ac:dyDescent="0.25">
      <c r="A33" s="40" t="s">
        <v>37</v>
      </c>
      <c r="B33" s="38"/>
      <c r="C33" s="38"/>
      <c r="D33" s="38"/>
      <c r="E33" s="17"/>
      <c r="F33" s="24">
        <f>F30-F31-F32</f>
        <v>578.67900338775405</v>
      </c>
      <c r="G33" s="75">
        <f>G32*0.1546</f>
        <v>1.1802585748800004E-2</v>
      </c>
      <c r="H33" s="2"/>
    </row>
    <row r="34" spans="1:8" ht="15.75" x14ac:dyDescent="0.25">
      <c r="A34" s="40" t="s">
        <v>0</v>
      </c>
      <c r="B34" s="38"/>
      <c r="C34" s="38"/>
      <c r="D34" s="38"/>
      <c r="E34" s="17"/>
      <c r="F34" s="24"/>
      <c r="G34" s="97">
        <f>G31*G33</f>
        <v>228.72230922599528</v>
      </c>
    </row>
    <row r="35" spans="1:8" ht="31.5" x14ac:dyDescent="0.25">
      <c r="A35" s="31" t="s">
        <v>8</v>
      </c>
      <c r="B35" s="17">
        <f>B36+B41+B46+B51+B56+B58+B60+B62</f>
        <v>9037.4208999999992</v>
      </c>
      <c r="C35" s="17">
        <f t="shared" ref="C35" si="1">C36+C41+C46+C51+C56+C58+C60+C62</f>
        <v>108449.05079999998</v>
      </c>
      <c r="D35" s="17">
        <f>D36+D41+D46+D51+D56+D58+D60+D62</f>
        <v>0</v>
      </c>
      <c r="E35" s="17">
        <f>C35-D35</f>
        <v>108449.05079999998</v>
      </c>
      <c r="F35" s="25"/>
      <c r="G35" s="100"/>
    </row>
    <row r="36" spans="1:8" ht="31.5" customHeight="1" x14ac:dyDescent="0.25">
      <c r="A36" s="33" t="s">
        <v>9</v>
      </c>
      <c r="B36" s="38">
        <f>F36</f>
        <v>2955.5567499999997</v>
      </c>
      <c r="C36" s="38">
        <f>B36*12</f>
        <v>35466.680999999997</v>
      </c>
      <c r="D36" s="38">
        <f>SUM(D37:D40)</f>
        <v>0</v>
      </c>
      <c r="E36" s="17">
        <f>C36-D36</f>
        <v>35466.680999999997</v>
      </c>
      <c r="F36" s="24">
        <f>тариф!E13</f>
        <v>2955.5567499999997</v>
      </c>
      <c r="G36" s="102" t="s">
        <v>137</v>
      </c>
      <c r="H36" s="1" t="s">
        <v>138</v>
      </c>
    </row>
    <row r="37" spans="1:8" ht="15.75" x14ac:dyDescent="0.25">
      <c r="A37" s="40" t="s">
        <v>35</v>
      </c>
      <c r="B37" s="38"/>
      <c r="C37" s="38"/>
      <c r="D37" s="38"/>
      <c r="E37" s="17"/>
      <c r="F37" s="24">
        <f>G40+H40</f>
        <v>1316.7747903239811</v>
      </c>
      <c r="G37" s="1">
        <v>22182</v>
      </c>
      <c r="H37" s="1">
        <v>22182</v>
      </c>
    </row>
    <row r="38" spans="1:8" ht="15.75" x14ac:dyDescent="0.25">
      <c r="A38" s="40" t="s">
        <v>36</v>
      </c>
      <c r="B38" s="38"/>
      <c r="C38" s="38"/>
      <c r="D38" s="38"/>
      <c r="E38" s="17"/>
      <c r="F38" s="24">
        <f>F37*0.302</f>
        <v>397.66598667784228</v>
      </c>
      <c r="G38" s="75">
        <f>'ТХ дома'!B14/325</f>
        <v>0.15384615384615385</v>
      </c>
      <c r="H38" s="75">
        <f>(('ТХ дома'!B7+'ТХ дома'!B28*0.5)*0.01631/1000)*G9</f>
        <v>6.1833656500000014E-2</v>
      </c>
    </row>
    <row r="39" spans="1:8" ht="15.75" x14ac:dyDescent="0.25">
      <c r="A39" s="40" t="s">
        <v>37</v>
      </c>
      <c r="B39" s="38"/>
      <c r="C39" s="38"/>
      <c r="D39" s="38"/>
      <c r="E39" s="17"/>
      <c r="F39" s="24">
        <f>F36-F37-F38</f>
        <v>1241.1159729981764</v>
      </c>
      <c r="G39" s="75">
        <f>G38*0.312746</f>
        <v>4.8114769230769239E-2</v>
      </c>
      <c r="H39" s="21">
        <f>H38*0.1819</f>
        <v>1.1247542117350002E-2</v>
      </c>
    </row>
    <row r="40" spans="1:8" ht="15.75" x14ac:dyDescent="0.25">
      <c r="A40" s="40" t="s">
        <v>0</v>
      </c>
      <c r="B40" s="38"/>
      <c r="C40" s="38"/>
      <c r="D40" s="38"/>
      <c r="E40" s="17"/>
      <c r="F40" s="24"/>
      <c r="G40" s="97">
        <f>G37*G39</f>
        <v>1067.2818110769233</v>
      </c>
      <c r="H40" s="97">
        <f>H37*H39</f>
        <v>249.49297924705775</v>
      </c>
    </row>
    <row r="41" spans="1:8" ht="15.75" x14ac:dyDescent="0.25">
      <c r="A41" s="33" t="s">
        <v>10</v>
      </c>
      <c r="B41" s="38">
        <f>F41</f>
        <v>592.78210000000001</v>
      </c>
      <c r="C41" s="38">
        <f>B41*12</f>
        <v>7113.3852000000006</v>
      </c>
      <c r="D41" s="38">
        <f>SUM(D42:D45)</f>
        <v>0</v>
      </c>
      <c r="E41" s="17">
        <f>C41-D41</f>
        <v>7113.3852000000006</v>
      </c>
      <c r="F41" s="24">
        <f>тариф!E14</f>
        <v>592.78210000000001</v>
      </c>
      <c r="G41" s="1" t="s">
        <v>137</v>
      </c>
      <c r="H41" s="1" t="s">
        <v>138</v>
      </c>
    </row>
    <row r="42" spans="1:8" ht="15.75" x14ac:dyDescent="0.25">
      <c r="A42" s="40" t="s">
        <v>35</v>
      </c>
      <c r="B42" s="38"/>
      <c r="C42" s="38"/>
      <c r="D42" s="38"/>
      <c r="E42" s="17"/>
      <c r="F42" s="24">
        <f>G45</f>
        <v>646.1080335162161</v>
      </c>
      <c r="G42" s="1">
        <v>22182</v>
      </c>
      <c r="H42" s="1">
        <v>22182</v>
      </c>
    </row>
    <row r="43" spans="1:8" ht="14.25" customHeight="1" x14ac:dyDescent="0.25">
      <c r="A43" s="40" t="s">
        <v>36</v>
      </c>
      <c r="B43" s="38"/>
      <c r="C43" s="38"/>
      <c r="D43" s="38"/>
      <c r="E43" s="17"/>
      <c r="F43" s="24">
        <f>F42*0.302</f>
        <v>195.12462612189725</v>
      </c>
      <c r="G43" s="75">
        <f>('ТХ дома'!B7+'ТХ дома'!B28*0.5)/37000</f>
        <v>9.3148648648648649E-2</v>
      </c>
    </row>
    <row r="44" spans="1:8" ht="14.25" customHeight="1" x14ac:dyDescent="0.25">
      <c r="A44" s="40" t="s">
        <v>37</v>
      </c>
      <c r="B44" s="38"/>
      <c r="C44" s="38"/>
      <c r="D44" s="38"/>
      <c r="E44" s="17"/>
      <c r="F44" s="24">
        <f>F41-F42-F43</f>
        <v>-248.45055963811333</v>
      </c>
      <c r="G44" s="75">
        <f>G43*0.3127</f>
        <v>2.9127582432432429E-2</v>
      </c>
    </row>
    <row r="45" spans="1:8" ht="15.75" x14ac:dyDescent="0.25">
      <c r="A45" s="40" t="s">
        <v>0</v>
      </c>
      <c r="B45" s="38"/>
      <c r="C45" s="38"/>
      <c r="D45" s="38"/>
      <c r="E45" s="17"/>
      <c r="F45" s="24"/>
      <c r="G45" s="77">
        <f>G42*G44</f>
        <v>646.1080335162161</v>
      </c>
    </row>
    <row r="46" spans="1:8" ht="15.75" x14ac:dyDescent="0.25">
      <c r="A46" s="33" t="s">
        <v>11</v>
      </c>
      <c r="B46" s="38">
        <f>F46</f>
        <v>868.12169999999992</v>
      </c>
      <c r="C46" s="38">
        <f>B46*12</f>
        <v>10417.4604</v>
      </c>
      <c r="D46" s="38">
        <f>SUM(D47:D50)</f>
        <v>0</v>
      </c>
      <c r="E46" s="17">
        <f>C46-D46</f>
        <v>10417.4604</v>
      </c>
      <c r="F46" s="24">
        <f>тариф!E15</f>
        <v>868.12169999999992</v>
      </c>
      <c r="G46" s="1" t="s">
        <v>139</v>
      </c>
    </row>
    <row r="47" spans="1:8" ht="15.75" x14ac:dyDescent="0.25">
      <c r="A47" s="40" t="s">
        <v>35</v>
      </c>
      <c r="B47" s="38"/>
      <c r="C47" s="38"/>
      <c r="D47" s="38"/>
      <c r="E47" s="17"/>
      <c r="F47" s="24">
        <f>G49</f>
        <v>479.2045454545455</v>
      </c>
      <c r="G47" s="1">
        <v>21085</v>
      </c>
    </row>
    <row r="48" spans="1:8" ht="15.75" x14ac:dyDescent="0.25">
      <c r="A48" s="40" t="s">
        <v>36</v>
      </c>
      <c r="B48" s="38"/>
      <c r="C48" s="38"/>
      <c r="D48" s="38"/>
      <c r="E48" s="17"/>
      <c r="F48" s="24">
        <f>F47*0.302</f>
        <v>144.71977272727273</v>
      </c>
      <c r="G48" s="75">
        <f>'ТХ дома'!B16/2200</f>
        <v>2.2727272727272728E-2</v>
      </c>
    </row>
    <row r="49" spans="1:7" ht="15.75" x14ac:dyDescent="0.25">
      <c r="A49" s="40" t="s">
        <v>37</v>
      </c>
      <c r="B49" s="38"/>
      <c r="C49" s="38"/>
      <c r="D49" s="38"/>
      <c r="E49" s="17"/>
      <c r="F49" s="24">
        <f>F46-F47-F48</f>
        <v>244.1973818181817</v>
      </c>
      <c r="G49" s="77">
        <f>G47*G48</f>
        <v>479.2045454545455</v>
      </c>
    </row>
    <row r="50" spans="1:7" ht="15.75" x14ac:dyDescent="0.25">
      <c r="A50" s="40" t="s">
        <v>0</v>
      </c>
      <c r="B50" s="38"/>
      <c r="C50" s="38"/>
      <c r="D50" s="38"/>
      <c r="E50" s="17"/>
      <c r="F50" s="24"/>
    </row>
    <row r="51" spans="1:7" ht="15" customHeight="1" x14ac:dyDescent="0.25">
      <c r="A51" s="34" t="s">
        <v>12</v>
      </c>
      <c r="B51" s="38">
        <f>F51</f>
        <v>222.54390000000001</v>
      </c>
      <c r="C51" s="38">
        <f>B51*12</f>
        <v>2670.5268000000001</v>
      </c>
      <c r="D51" s="38">
        <f>SUM(D52:D55)</f>
        <v>0</v>
      </c>
      <c r="E51" s="17">
        <f>C51-D51</f>
        <v>2670.5268000000001</v>
      </c>
      <c r="F51" s="24">
        <f>тариф!E16</f>
        <v>222.54390000000001</v>
      </c>
      <c r="G51" s="1" t="s">
        <v>140</v>
      </c>
    </row>
    <row r="52" spans="1:7" ht="15.75" x14ac:dyDescent="0.25">
      <c r="A52" s="40" t="s">
        <v>70</v>
      </c>
      <c r="B52" s="38"/>
      <c r="C52" s="38"/>
      <c r="D52" s="38"/>
      <c r="E52" s="17"/>
      <c r="F52" s="24">
        <f>G55</f>
        <v>843.4</v>
      </c>
      <c r="G52" s="1">
        <v>21085</v>
      </c>
    </row>
    <row r="53" spans="1:7" ht="15.75" x14ac:dyDescent="0.25">
      <c r="A53" s="40" t="s">
        <v>36</v>
      </c>
      <c r="B53" s="38"/>
      <c r="C53" s="38"/>
      <c r="D53" s="38"/>
      <c r="E53" s="17"/>
      <c r="F53" s="24">
        <f>F52*0.302</f>
        <v>254.70679999999999</v>
      </c>
      <c r="G53" s="1">
        <v>1250</v>
      </c>
    </row>
    <row r="54" spans="1:7" ht="15.75" x14ac:dyDescent="0.25">
      <c r="A54" s="40" t="s">
        <v>37</v>
      </c>
      <c r="B54" s="38"/>
      <c r="C54" s="38"/>
      <c r="D54" s="38"/>
      <c r="E54" s="17"/>
      <c r="F54" s="24"/>
      <c r="G54" s="1">
        <f>'ТХ дома'!B12/G53</f>
        <v>0.04</v>
      </c>
    </row>
    <row r="55" spans="1:7" ht="15.75" x14ac:dyDescent="0.25">
      <c r="A55" s="40" t="s">
        <v>0</v>
      </c>
      <c r="B55" s="38"/>
      <c r="C55" s="38"/>
      <c r="D55" s="38"/>
      <c r="E55" s="17"/>
      <c r="F55" s="24"/>
      <c r="G55" s="77">
        <f>G52*G54</f>
        <v>843.4</v>
      </c>
    </row>
    <row r="56" spans="1:7" ht="31.5" x14ac:dyDescent="0.25">
      <c r="A56" s="33" t="s">
        <v>13</v>
      </c>
      <c r="B56" s="38">
        <f>B57</f>
        <v>0</v>
      </c>
      <c r="C56" s="38">
        <f t="shared" ref="C56:C74" si="2">B56*12</f>
        <v>0</v>
      </c>
      <c r="D56" s="38">
        <f>D57</f>
        <v>0</v>
      </c>
      <c r="E56" s="17">
        <f>C56-D56</f>
        <v>0</v>
      </c>
      <c r="F56" s="24">
        <f>тариф!E17</f>
        <v>0</v>
      </c>
    </row>
    <row r="57" spans="1:7" ht="15.75" x14ac:dyDescent="0.25">
      <c r="A57" s="41" t="s">
        <v>76</v>
      </c>
      <c r="B57" s="38">
        <f>F56</f>
        <v>0</v>
      </c>
      <c r="C57" s="38"/>
      <c r="D57" s="38"/>
      <c r="E57" s="17"/>
      <c r="F57" s="24"/>
    </row>
    <row r="58" spans="1:7" ht="15.75" x14ac:dyDescent="0.25">
      <c r="A58" s="33" t="s">
        <v>71</v>
      </c>
      <c r="B58" s="38">
        <f>B59</f>
        <v>3795.2756999999997</v>
      </c>
      <c r="C58" s="38">
        <f t="shared" si="2"/>
        <v>45543.308399999994</v>
      </c>
      <c r="D58" s="38">
        <f>D59</f>
        <v>0</v>
      </c>
      <c r="E58" s="17">
        <f>C58-D58</f>
        <v>45543.308399999994</v>
      </c>
      <c r="F58" s="24">
        <f>тариф!E18+тариф!E19</f>
        <v>3795.2756999999997</v>
      </c>
    </row>
    <row r="59" spans="1:7" ht="15.75" x14ac:dyDescent="0.25">
      <c r="A59" s="41" t="s">
        <v>77</v>
      </c>
      <c r="B59" s="38">
        <f>F58</f>
        <v>3795.2756999999997</v>
      </c>
      <c r="C59" s="38">
        <f t="shared" si="2"/>
        <v>45543.308399999994</v>
      </c>
      <c r="D59" s="38"/>
      <c r="E59" s="17"/>
      <c r="F59" s="24"/>
    </row>
    <row r="60" spans="1:7" ht="15.75" hidden="1" x14ac:dyDescent="0.25">
      <c r="A60" s="33" t="s">
        <v>15</v>
      </c>
      <c r="B60" s="38">
        <f>B61</f>
        <v>0</v>
      </c>
      <c r="C60" s="38">
        <f t="shared" si="2"/>
        <v>0</v>
      </c>
      <c r="D60" s="38"/>
      <c r="E60" s="17"/>
      <c r="F60" s="24">
        <f>0.7779*C120</f>
        <v>2599.3528500000002</v>
      </c>
      <c r="G60" s="1">
        <f>0.3917*B121</f>
        <v>5.2071422899999993</v>
      </c>
    </row>
    <row r="61" spans="1:7" ht="31.5" hidden="1" x14ac:dyDescent="0.25">
      <c r="A61" s="41" t="s">
        <v>40</v>
      </c>
      <c r="B61" s="38"/>
      <c r="C61" s="38">
        <f t="shared" si="2"/>
        <v>0</v>
      </c>
      <c r="D61" s="38"/>
      <c r="E61" s="17"/>
      <c r="F61" s="24">
        <v>702.54</v>
      </c>
    </row>
    <row r="62" spans="1:7" ht="18" customHeight="1" x14ac:dyDescent="0.25">
      <c r="A62" s="34" t="s">
        <v>16</v>
      </c>
      <c r="B62" s="38">
        <f>B63</f>
        <v>603.14075000000003</v>
      </c>
      <c r="C62" s="38">
        <f t="shared" si="2"/>
        <v>7237.6890000000003</v>
      </c>
      <c r="D62" s="38">
        <f>D63</f>
        <v>0</v>
      </c>
      <c r="E62" s="17">
        <f>C62-D62</f>
        <v>7237.6890000000003</v>
      </c>
      <c r="F62" s="24">
        <f>тариф!E20</f>
        <v>603.14075000000003</v>
      </c>
    </row>
    <row r="63" spans="1:7" ht="32.25" customHeight="1" x14ac:dyDescent="0.25">
      <c r="A63" s="42" t="s">
        <v>39</v>
      </c>
      <c r="B63" s="38">
        <f>F62</f>
        <v>603.14075000000003</v>
      </c>
      <c r="C63" s="38">
        <f t="shared" si="2"/>
        <v>7237.6890000000003</v>
      </c>
      <c r="D63" s="38"/>
      <c r="E63" s="17"/>
      <c r="F63" s="24"/>
    </row>
    <row r="64" spans="1:7" ht="31.5" x14ac:dyDescent="0.25">
      <c r="A64" s="31" t="s">
        <v>17</v>
      </c>
      <c r="B64" s="18">
        <f>B65+B66+B71+B76+B81+B83</f>
        <v>16327.571449999999</v>
      </c>
      <c r="C64" s="18">
        <f t="shared" ref="C64:D64" si="3">C65+C66+C71+C76+C81+C83</f>
        <v>195930.85740000001</v>
      </c>
      <c r="D64" s="18">
        <f t="shared" si="3"/>
        <v>0</v>
      </c>
      <c r="E64" s="17">
        <f>C64-D64</f>
        <v>195930.85740000001</v>
      </c>
      <c r="F64" s="24"/>
      <c r="G64" s="29"/>
    </row>
    <row r="65" spans="1:7" ht="15.75" x14ac:dyDescent="0.25">
      <c r="A65" s="33" t="s">
        <v>18</v>
      </c>
      <c r="B65" s="50">
        <v>0</v>
      </c>
      <c r="C65" s="38">
        <f t="shared" si="2"/>
        <v>0</v>
      </c>
      <c r="D65" s="38">
        <v>0</v>
      </c>
      <c r="E65" s="17">
        <f t="shared" ref="E65:E71" si="4">C65-D65</f>
        <v>0</v>
      </c>
      <c r="F65" s="24"/>
    </row>
    <row r="66" spans="1:7" ht="18" customHeight="1" x14ac:dyDescent="0.25">
      <c r="A66" s="33" t="s">
        <v>19</v>
      </c>
      <c r="B66" s="38">
        <f>SUM(B67:B70)</f>
        <v>5904.0963499999998</v>
      </c>
      <c r="C66" s="38">
        <f>SUM(C67:C70)</f>
        <v>70849.156199999998</v>
      </c>
      <c r="D66" s="38">
        <f>SUM(D67:D70)</f>
        <v>0</v>
      </c>
      <c r="E66" s="17">
        <f t="shared" si="4"/>
        <v>70849.156199999998</v>
      </c>
      <c r="F66" s="24">
        <f>тариф!E23</f>
        <v>5904.0963499999998</v>
      </c>
      <c r="G66" s="1" t="s">
        <v>142</v>
      </c>
    </row>
    <row r="67" spans="1:7" ht="15.75" x14ac:dyDescent="0.25">
      <c r="A67" s="40" t="s">
        <v>144</v>
      </c>
      <c r="B67" s="38">
        <f>F67</f>
        <v>3538.0022857142853</v>
      </c>
      <c r="C67" s="38">
        <f>B67*12</f>
        <v>42456.027428571426</v>
      </c>
      <c r="D67" s="38"/>
      <c r="E67" s="17"/>
      <c r="F67" s="24">
        <f>G69</f>
        <v>3538.0022857142853</v>
      </c>
      <c r="G67" s="1">
        <v>12188</v>
      </c>
    </row>
    <row r="68" spans="1:7" ht="15.75" x14ac:dyDescent="0.25">
      <c r="A68" s="40" t="s">
        <v>36</v>
      </c>
      <c r="B68" s="38">
        <f>B67*0.302</f>
        <v>1068.4766902857141</v>
      </c>
      <c r="C68" s="38">
        <f t="shared" ref="C68:C69" si="5">B68*12</f>
        <v>12821.720283428569</v>
      </c>
      <c r="D68" s="38"/>
      <c r="E68" s="17"/>
      <c r="F68" s="24">
        <f>F67*0.302</f>
        <v>1068.4766902857141</v>
      </c>
      <c r="G68" s="101">
        <f>'ТХ дома'!B30/5250</f>
        <v>0.29028571428571426</v>
      </c>
    </row>
    <row r="69" spans="1:7" ht="15.75" x14ac:dyDescent="0.25">
      <c r="A69" s="40" t="s">
        <v>37</v>
      </c>
      <c r="B69" s="38">
        <f>F66-B67-B68</f>
        <v>1297.6173740000004</v>
      </c>
      <c r="C69" s="38">
        <f t="shared" si="5"/>
        <v>15571.408488000005</v>
      </c>
      <c r="D69" s="38"/>
      <c r="E69" s="17"/>
      <c r="F69" s="24">
        <f>F66-F67-F68</f>
        <v>1297.6173740000004</v>
      </c>
      <c r="G69" s="77">
        <f>G67*G68</f>
        <v>3538.0022857142853</v>
      </c>
    </row>
    <row r="70" spans="1:7" ht="15.75" x14ac:dyDescent="0.25">
      <c r="A70" s="40" t="s">
        <v>0</v>
      </c>
      <c r="B70" s="38"/>
      <c r="C70" s="38"/>
      <c r="D70" s="38"/>
      <c r="E70" s="17"/>
      <c r="F70" s="24"/>
    </row>
    <row r="71" spans="1:7" ht="15.75" x14ac:dyDescent="0.25">
      <c r="A71" s="33" t="s">
        <v>20</v>
      </c>
      <c r="B71" s="38">
        <f>SUM(B72:B75)</f>
        <v>631.87765000000002</v>
      </c>
      <c r="C71" s="38">
        <f t="shared" si="2"/>
        <v>7582.5318000000007</v>
      </c>
      <c r="D71" s="38">
        <v>0</v>
      </c>
      <c r="E71" s="17">
        <f t="shared" si="4"/>
        <v>7582.5318000000007</v>
      </c>
      <c r="F71" s="24">
        <f>тариф!E24</f>
        <v>631.87765000000002</v>
      </c>
      <c r="G71" s="1" t="s">
        <v>142</v>
      </c>
    </row>
    <row r="72" spans="1:7" ht="15.75" x14ac:dyDescent="0.25">
      <c r="A72" s="41" t="s">
        <v>144</v>
      </c>
      <c r="B72" s="38">
        <f>F72</f>
        <v>378.71725321888414</v>
      </c>
      <c r="C72" s="38">
        <f t="shared" si="2"/>
        <v>4544.6070386266092</v>
      </c>
      <c r="D72" s="38"/>
      <c r="E72" s="17"/>
      <c r="F72" s="24">
        <f>G74</f>
        <v>378.71725321888414</v>
      </c>
      <c r="G72" s="1">
        <v>12188</v>
      </c>
    </row>
    <row r="73" spans="1:7" ht="15.75" x14ac:dyDescent="0.25">
      <c r="A73" s="41" t="s">
        <v>36</v>
      </c>
      <c r="B73" s="38">
        <f>B72*0.302</f>
        <v>114.37261047210301</v>
      </c>
      <c r="C73" s="38">
        <f t="shared" si="2"/>
        <v>1372.471325665236</v>
      </c>
      <c r="D73" s="38"/>
      <c r="E73" s="17"/>
      <c r="F73" s="24">
        <f>F72*0.302</f>
        <v>114.37261047210301</v>
      </c>
      <c r="G73" s="75">
        <f>'ТХ дома'!B40/233</f>
        <v>3.1072961373390558E-2</v>
      </c>
    </row>
    <row r="74" spans="1:7" ht="15.75" x14ac:dyDescent="0.25">
      <c r="A74" s="41" t="s">
        <v>37</v>
      </c>
      <c r="B74" s="38">
        <f>F74</f>
        <v>138.78778630901286</v>
      </c>
      <c r="C74" s="38">
        <f t="shared" si="2"/>
        <v>1665.4534357081543</v>
      </c>
      <c r="D74" s="38"/>
      <c r="E74" s="17"/>
      <c r="F74" s="24">
        <f>F71-F72-F73</f>
        <v>138.78778630901286</v>
      </c>
      <c r="G74" s="77">
        <f>G72*G73</f>
        <v>378.71725321888414</v>
      </c>
    </row>
    <row r="75" spans="1:7" ht="15.75" x14ac:dyDescent="0.25">
      <c r="A75" s="41" t="s">
        <v>0</v>
      </c>
      <c r="B75" s="38"/>
      <c r="C75" s="38"/>
      <c r="D75" s="38"/>
      <c r="E75" s="17"/>
      <c r="F75" s="24"/>
    </row>
    <row r="76" spans="1:7" ht="15.75" x14ac:dyDescent="0.25">
      <c r="A76" s="33" t="s">
        <v>21</v>
      </c>
      <c r="B76" s="38">
        <f>SUM(B77:B80)</f>
        <v>0</v>
      </c>
      <c r="C76" s="38">
        <f>SUM(C77:C80)</f>
        <v>0</v>
      </c>
      <c r="D76" s="38">
        <f>SUM(D77:D80)</f>
        <v>0</v>
      </c>
      <c r="E76" s="17">
        <f>C76-D76</f>
        <v>0</v>
      </c>
      <c r="F76" s="24">
        <f>тариф!E25</f>
        <v>0</v>
      </c>
      <c r="G76" s="1" t="s">
        <v>143</v>
      </c>
    </row>
    <row r="77" spans="1:7" ht="18" customHeight="1" x14ac:dyDescent="0.25">
      <c r="A77" s="40" t="s">
        <v>147</v>
      </c>
      <c r="B77" s="38">
        <f>F77</f>
        <v>0</v>
      </c>
      <c r="C77" s="38">
        <f>B77*12</f>
        <v>0</v>
      </c>
      <c r="D77" s="38"/>
      <c r="E77" s="17"/>
      <c r="F77" s="24">
        <f>G79</f>
        <v>0</v>
      </c>
      <c r="G77" s="75">
        <v>12188</v>
      </c>
    </row>
    <row r="78" spans="1:7" ht="15.75" x14ac:dyDescent="0.25">
      <c r="A78" s="40" t="s">
        <v>36</v>
      </c>
      <c r="B78" s="38">
        <f>B77*0.302</f>
        <v>0</v>
      </c>
      <c r="C78" s="38">
        <f t="shared" ref="C78:C79" si="6">B78*12</f>
        <v>0</v>
      </c>
      <c r="D78" s="38"/>
      <c r="E78" s="17"/>
      <c r="F78" s="24">
        <f>F77*0.302</f>
        <v>0</v>
      </c>
      <c r="G78" s="75"/>
    </row>
    <row r="79" spans="1:7" ht="15.75" x14ac:dyDescent="0.25">
      <c r="A79" s="40" t="s">
        <v>37</v>
      </c>
      <c r="B79" s="38">
        <f>F79</f>
        <v>0</v>
      </c>
      <c r="C79" s="38">
        <f t="shared" si="6"/>
        <v>0</v>
      </c>
      <c r="D79" s="38"/>
      <c r="E79" s="17"/>
      <c r="F79" s="24">
        <f>F76-F77-F78</f>
        <v>0</v>
      </c>
      <c r="G79" s="20">
        <f>G77*G78</f>
        <v>0</v>
      </c>
    </row>
    <row r="80" spans="1:7" ht="15.75" x14ac:dyDescent="0.25">
      <c r="A80" s="40" t="s">
        <v>0</v>
      </c>
      <c r="B80" s="38"/>
      <c r="C80" s="38"/>
      <c r="D80" s="38"/>
      <c r="E80" s="17"/>
      <c r="F80" s="24"/>
    </row>
    <row r="81" spans="1:7" ht="32.25" customHeight="1" x14ac:dyDescent="0.25">
      <c r="A81" s="33" t="s">
        <v>22</v>
      </c>
      <c r="B81" s="38">
        <f>B82</f>
        <v>5622.4079000000002</v>
      </c>
      <c r="C81" s="38">
        <f t="shared" ref="C81:C89" si="7">B81*12</f>
        <v>67468.894800000009</v>
      </c>
      <c r="D81" s="38">
        <f>D82</f>
        <v>0</v>
      </c>
      <c r="E81" s="17">
        <f>C81-D81</f>
        <v>67468.894800000009</v>
      </c>
      <c r="F81" s="24">
        <f>тариф!E26</f>
        <v>5622.4079000000002</v>
      </c>
    </row>
    <row r="82" spans="1:7" ht="33.75" customHeight="1" x14ac:dyDescent="0.25">
      <c r="A82" s="41" t="s">
        <v>39</v>
      </c>
      <c r="B82" s="38">
        <f>F81</f>
        <v>5622.4079000000002</v>
      </c>
      <c r="C82" s="38">
        <f t="shared" si="7"/>
        <v>67468.894800000009</v>
      </c>
      <c r="D82" s="38"/>
      <c r="E82" s="17"/>
      <c r="F82" s="24"/>
    </row>
    <row r="83" spans="1:7" ht="15.75" x14ac:dyDescent="0.25">
      <c r="A83" s="33" t="s">
        <v>23</v>
      </c>
      <c r="B83" s="38">
        <f>F83</f>
        <v>4169.1895500000001</v>
      </c>
      <c r="C83" s="38">
        <f t="shared" si="7"/>
        <v>50030.274600000004</v>
      </c>
      <c r="D83" s="38">
        <f>SUM(D84:D87)</f>
        <v>0</v>
      </c>
      <c r="E83" s="17">
        <f>C83-D83</f>
        <v>50030.274600000004</v>
      </c>
      <c r="F83" s="24">
        <f>тариф!E27</f>
        <v>4169.1895500000001</v>
      </c>
    </row>
    <row r="84" spans="1:7" ht="15.75" x14ac:dyDescent="0.25">
      <c r="A84" s="40" t="s">
        <v>35</v>
      </c>
      <c r="B84" s="38"/>
      <c r="C84" s="38"/>
      <c r="D84" s="38"/>
      <c r="E84" s="17"/>
      <c r="F84" s="24"/>
    </row>
    <row r="85" spans="1:7" ht="15.75" x14ac:dyDescent="0.25">
      <c r="A85" s="40" t="s">
        <v>36</v>
      </c>
      <c r="B85" s="38"/>
      <c r="C85" s="38"/>
      <c r="D85" s="38"/>
      <c r="E85" s="17"/>
      <c r="F85" s="24"/>
    </row>
    <row r="86" spans="1:7" ht="15.75" x14ac:dyDescent="0.25">
      <c r="A86" s="40" t="s">
        <v>37</v>
      </c>
      <c r="B86" s="38"/>
      <c r="C86" s="38"/>
      <c r="D86" s="38"/>
      <c r="E86" s="17"/>
      <c r="F86" s="24"/>
    </row>
    <row r="87" spans="1:7" ht="15.75" x14ac:dyDescent="0.25">
      <c r="A87" s="40" t="s">
        <v>0</v>
      </c>
      <c r="B87" s="38"/>
      <c r="C87" s="38"/>
      <c r="D87" s="38"/>
      <c r="E87" s="17"/>
      <c r="F87" s="24"/>
    </row>
    <row r="88" spans="1:7" ht="15.75" hidden="1" x14ac:dyDescent="0.25">
      <c r="A88" s="31" t="s">
        <v>24</v>
      </c>
      <c r="B88" s="17"/>
      <c r="C88" s="17"/>
      <c r="D88" s="17"/>
      <c r="E88" s="17"/>
      <c r="F88" s="24"/>
      <c r="G88" s="1">
        <f>1.1426*B120</f>
        <v>3817.9979000000003</v>
      </c>
    </row>
    <row r="89" spans="1:7" ht="31.5" x14ac:dyDescent="0.25">
      <c r="A89" s="31" t="s">
        <v>72</v>
      </c>
      <c r="B89" s="17">
        <f>F89</f>
        <v>16283.46365</v>
      </c>
      <c r="C89" s="17">
        <f t="shared" si="7"/>
        <v>195401.5638</v>
      </c>
      <c r="D89" s="17">
        <f>D90+D101</f>
        <v>157344.552</v>
      </c>
      <c r="E89" s="17">
        <f>C89-D89</f>
        <v>38057.011800000007</v>
      </c>
      <c r="F89" s="24">
        <f>тариф!E28+тариф!E29</f>
        <v>16283.46365</v>
      </c>
    </row>
    <row r="90" spans="1:7" ht="15.75" x14ac:dyDescent="0.25">
      <c r="A90" s="67" t="s">
        <v>66</v>
      </c>
      <c r="B90" s="17"/>
      <c r="C90" s="17"/>
      <c r="D90" s="17">
        <f>SUM(D91:D100)</f>
        <v>86455.2978</v>
      </c>
      <c r="E90" s="17"/>
      <c r="F90" s="24"/>
    </row>
    <row r="91" spans="1:7" ht="25.5" x14ac:dyDescent="0.25">
      <c r="A91" s="68" t="s">
        <v>78</v>
      </c>
      <c r="B91" s="17"/>
      <c r="C91" s="17"/>
      <c r="D91" s="38">
        <f>F91*$D$120*12</f>
        <v>58334.570400000004</v>
      </c>
      <c r="E91" s="17"/>
      <c r="F91" s="53">
        <v>1.4548000000000001</v>
      </c>
    </row>
    <row r="92" spans="1:7" ht="15.75" x14ac:dyDescent="0.25">
      <c r="A92" s="68" t="s">
        <v>36</v>
      </c>
      <c r="B92" s="17"/>
      <c r="C92" s="17"/>
      <c r="D92" s="38">
        <f t="shared" ref="D92:D100" si="8">F92*$D$120*12</f>
        <v>16917.3462</v>
      </c>
      <c r="E92" s="17"/>
      <c r="F92" s="53">
        <v>0.4219</v>
      </c>
    </row>
    <row r="93" spans="1:7" ht="15.75" x14ac:dyDescent="0.25">
      <c r="A93" s="68" t="s">
        <v>49</v>
      </c>
      <c r="B93" s="17"/>
      <c r="C93" s="17"/>
      <c r="D93" s="38">
        <f t="shared" si="8"/>
        <v>272.66639999999995</v>
      </c>
      <c r="E93" s="17"/>
      <c r="F93" s="53">
        <v>6.7999999999999996E-3</v>
      </c>
    </row>
    <row r="94" spans="1:7" ht="15.75" x14ac:dyDescent="0.25">
      <c r="A94" s="68" t="s">
        <v>50</v>
      </c>
      <c r="B94" s="17"/>
      <c r="C94" s="17"/>
      <c r="D94" s="38">
        <f t="shared" si="8"/>
        <v>288.7056</v>
      </c>
      <c r="E94" s="17"/>
      <c r="F94" s="53">
        <v>7.1999999999999998E-3</v>
      </c>
    </row>
    <row r="95" spans="1:7" ht="25.5" x14ac:dyDescent="0.25">
      <c r="A95" s="68" t="s">
        <v>79</v>
      </c>
      <c r="B95" s="17"/>
      <c r="C95" s="17"/>
      <c r="D95" s="38">
        <f t="shared" si="8"/>
        <v>256.62720000000002</v>
      </c>
      <c r="E95" s="17"/>
      <c r="F95" s="53">
        <v>6.4000000000000003E-3</v>
      </c>
    </row>
    <row r="96" spans="1:7" ht="15.75" x14ac:dyDescent="0.25">
      <c r="A96" s="68" t="s">
        <v>51</v>
      </c>
      <c r="B96" s="17"/>
      <c r="C96" s="17"/>
      <c r="D96" s="38">
        <f t="shared" si="8"/>
        <v>252.61739999999998</v>
      </c>
      <c r="E96" s="17"/>
      <c r="F96" s="53">
        <v>6.3E-3</v>
      </c>
    </row>
    <row r="97" spans="1:6" ht="25.5" x14ac:dyDescent="0.25">
      <c r="A97" s="68" t="s">
        <v>80</v>
      </c>
      <c r="B97" s="17"/>
      <c r="C97" s="17"/>
      <c r="D97" s="38">
        <f t="shared" si="8"/>
        <v>320.78399999999999</v>
      </c>
      <c r="E97" s="17"/>
      <c r="F97" s="53">
        <v>8.0000000000000002E-3</v>
      </c>
    </row>
    <row r="98" spans="1:6" ht="15.75" x14ac:dyDescent="0.25">
      <c r="A98" s="68" t="s">
        <v>52</v>
      </c>
      <c r="B98" s="17"/>
      <c r="C98" s="17"/>
      <c r="D98" s="38">
        <f t="shared" si="8"/>
        <v>1066.6068</v>
      </c>
      <c r="E98" s="17"/>
      <c r="F98" s="53">
        <v>2.6599999999999999E-2</v>
      </c>
    </row>
    <row r="99" spans="1:6" ht="15.75" x14ac:dyDescent="0.25">
      <c r="A99" s="68" t="s">
        <v>53</v>
      </c>
      <c r="B99" s="17"/>
      <c r="C99" s="17"/>
      <c r="D99" s="38">
        <f t="shared" si="8"/>
        <v>2826.9089999999997</v>
      </c>
      <c r="E99" s="17"/>
      <c r="F99" s="53">
        <v>7.0499999999999993E-2</v>
      </c>
    </row>
    <row r="100" spans="1:6" ht="15.75" x14ac:dyDescent="0.25">
      <c r="A100" s="68" t="s">
        <v>0</v>
      </c>
      <c r="B100" s="17"/>
      <c r="C100" s="17"/>
      <c r="D100" s="38">
        <f t="shared" si="8"/>
        <v>5918.4648000000007</v>
      </c>
      <c r="E100" s="17"/>
      <c r="F100" s="53">
        <v>0.14760000000000001</v>
      </c>
    </row>
    <row r="101" spans="1:6" ht="15.75" x14ac:dyDescent="0.25">
      <c r="A101" s="67" t="s">
        <v>67</v>
      </c>
      <c r="B101" s="17"/>
      <c r="C101" s="17"/>
      <c r="D101" s="17">
        <f>D102+D103+D104+D112+D116+D117+D118</f>
        <v>70889.254199999996</v>
      </c>
      <c r="E101" s="17"/>
      <c r="F101" s="24"/>
    </row>
    <row r="102" spans="1:6" ht="32.25" customHeight="1" x14ac:dyDescent="0.25">
      <c r="A102" s="71" t="s">
        <v>84</v>
      </c>
      <c r="B102" s="17"/>
      <c r="C102" s="17"/>
      <c r="D102" s="38">
        <f t="shared" ref="D102:D118" si="9">F102*$D$120*12</f>
        <v>44015.574599999993</v>
      </c>
      <c r="E102" s="17"/>
      <c r="F102" s="53">
        <v>1.0976999999999999</v>
      </c>
    </row>
    <row r="103" spans="1:6" ht="15.75" x14ac:dyDescent="0.25">
      <c r="A103" s="71" t="s">
        <v>36</v>
      </c>
      <c r="B103" s="17"/>
      <c r="C103" s="17"/>
      <c r="D103" s="38">
        <f t="shared" si="9"/>
        <v>12847.3992</v>
      </c>
      <c r="E103" s="17"/>
      <c r="F103" s="53">
        <v>0.32040000000000002</v>
      </c>
    </row>
    <row r="104" spans="1:6" ht="32.25" customHeight="1" x14ac:dyDescent="0.25">
      <c r="A104" s="71" t="s">
        <v>54</v>
      </c>
      <c r="B104" s="17"/>
      <c r="C104" s="17"/>
      <c r="D104" s="38">
        <f t="shared" si="9"/>
        <v>5224.7694000000001</v>
      </c>
      <c r="E104" s="17"/>
      <c r="F104" s="53">
        <v>0.1303</v>
      </c>
    </row>
    <row r="105" spans="1:6" ht="15.75" x14ac:dyDescent="0.25">
      <c r="A105" s="69" t="s">
        <v>55</v>
      </c>
      <c r="B105" s="17"/>
      <c r="C105" s="17"/>
      <c r="D105" s="38">
        <f t="shared" si="9"/>
        <v>926.26379999999995</v>
      </c>
      <c r="E105" s="17"/>
      <c r="F105" s="53">
        <v>2.3099999999999999E-2</v>
      </c>
    </row>
    <row r="106" spans="1:6" ht="15.75" x14ac:dyDescent="0.25">
      <c r="A106" s="69" t="s">
        <v>56</v>
      </c>
      <c r="B106" s="17"/>
      <c r="C106" s="17"/>
      <c r="D106" s="38">
        <f t="shared" si="9"/>
        <v>40.097999999999999</v>
      </c>
      <c r="E106" s="17"/>
      <c r="F106" s="53">
        <v>1E-3</v>
      </c>
    </row>
    <row r="107" spans="1:6" ht="15.75" x14ac:dyDescent="0.25">
      <c r="A107" s="69" t="s">
        <v>57</v>
      </c>
      <c r="B107" s="17"/>
      <c r="C107" s="17"/>
      <c r="D107" s="38">
        <f t="shared" si="9"/>
        <v>874.13640000000009</v>
      </c>
      <c r="E107" s="17"/>
      <c r="F107" s="53">
        <v>2.18E-2</v>
      </c>
    </row>
    <row r="108" spans="1:6" ht="15.75" x14ac:dyDescent="0.25">
      <c r="A108" s="69" t="s">
        <v>81</v>
      </c>
      <c r="B108" s="17"/>
      <c r="C108" s="17"/>
      <c r="D108" s="38">
        <f t="shared" si="9"/>
        <v>88.215599999999995</v>
      </c>
      <c r="E108" s="17"/>
      <c r="F108" s="53">
        <v>2.2000000000000001E-3</v>
      </c>
    </row>
    <row r="109" spans="1:6" ht="15.75" x14ac:dyDescent="0.25">
      <c r="A109" s="69" t="s">
        <v>58</v>
      </c>
      <c r="B109" s="17"/>
      <c r="C109" s="17"/>
      <c r="D109" s="38">
        <f t="shared" si="9"/>
        <v>0</v>
      </c>
      <c r="E109" s="17"/>
      <c r="F109" s="53">
        <v>0</v>
      </c>
    </row>
    <row r="110" spans="1:6" ht="15.75" x14ac:dyDescent="0.25">
      <c r="A110" s="69" t="s">
        <v>59</v>
      </c>
      <c r="B110" s="17"/>
      <c r="C110" s="17"/>
      <c r="D110" s="38">
        <f t="shared" si="9"/>
        <v>809.9796</v>
      </c>
      <c r="E110" s="17"/>
      <c r="F110" s="53">
        <v>2.0199999999999999E-2</v>
      </c>
    </row>
    <row r="111" spans="1:6" ht="15.75" x14ac:dyDescent="0.25">
      <c r="A111" s="69" t="s">
        <v>82</v>
      </c>
      <c r="B111" s="17"/>
      <c r="C111" s="17"/>
      <c r="D111" s="38">
        <f t="shared" si="9"/>
        <v>2445.9780000000001</v>
      </c>
      <c r="E111" s="17"/>
      <c r="F111" s="53">
        <v>6.0999999999999999E-2</v>
      </c>
    </row>
    <row r="112" spans="1:6" ht="15.75" x14ac:dyDescent="0.25">
      <c r="A112" s="69" t="s">
        <v>60</v>
      </c>
      <c r="B112" s="17"/>
      <c r="C112" s="17"/>
      <c r="D112" s="38">
        <f t="shared" si="9"/>
        <v>44.107799999999997</v>
      </c>
      <c r="E112" s="17"/>
      <c r="F112" s="53">
        <v>1.1000000000000001E-3</v>
      </c>
    </row>
    <row r="113" spans="1:7" ht="18.75" customHeight="1" x14ac:dyDescent="0.25">
      <c r="A113" s="72" t="s">
        <v>61</v>
      </c>
      <c r="B113" s="17"/>
      <c r="C113" s="17"/>
      <c r="D113" s="38">
        <f t="shared" si="9"/>
        <v>2185.3409999999999</v>
      </c>
      <c r="E113" s="17"/>
      <c r="F113" s="53">
        <v>5.45E-2</v>
      </c>
    </row>
    <row r="114" spans="1:7" ht="15.75" x14ac:dyDescent="0.25">
      <c r="A114" s="69" t="s">
        <v>62</v>
      </c>
      <c r="B114" s="17"/>
      <c r="C114" s="17"/>
      <c r="D114" s="38">
        <f t="shared" si="9"/>
        <v>236.57819999999998</v>
      </c>
      <c r="E114" s="17"/>
      <c r="F114" s="53">
        <v>5.8999999999999999E-3</v>
      </c>
    </row>
    <row r="115" spans="1:7" ht="15.75" x14ac:dyDescent="0.25">
      <c r="A115" s="69" t="s">
        <v>63</v>
      </c>
      <c r="B115" s="17"/>
      <c r="C115" s="17"/>
      <c r="D115" s="38">
        <f t="shared" si="9"/>
        <v>1134.7734</v>
      </c>
      <c r="E115" s="17"/>
      <c r="F115" s="53">
        <v>2.8299999999999999E-2</v>
      </c>
    </row>
    <row r="116" spans="1:7" ht="15.75" x14ac:dyDescent="0.25">
      <c r="A116" s="69" t="s">
        <v>83</v>
      </c>
      <c r="B116" s="17"/>
      <c r="C116" s="17"/>
      <c r="D116" s="38">
        <f t="shared" si="9"/>
        <v>813.98939999999993</v>
      </c>
      <c r="E116" s="17"/>
      <c r="F116" s="53">
        <v>2.0299999999999999E-2</v>
      </c>
    </row>
    <row r="117" spans="1:7" ht="15.75" x14ac:dyDescent="0.25">
      <c r="A117" s="70" t="s">
        <v>64</v>
      </c>
      <c r="B117" s="17"/>
      <c r="C117" s="17"/>
      <c r="D117" s="38">
        <f t="shared" si="9"/>
        <v>4928.0442000000003</v>
      </c>
      <c r="E117" s="17"/>
      <c r="F117" s="53">
        <v>0.1229</v>
      </c>
    </row>
    <row r="118" spans="1:7" ht="15.75" x14ac:dyDescent="0.25">
      <c r="A118" s="70" t="s">
        <v>65</v>
      </c>
      <c r="B118" s="17"/>
      <c r="C118" s="17"/>
      <c r="D118" s="38">
        <f t="shared" si="9"/>
        <v>3015.3696</v>
      </c>
      <c r="E118" s="17"/>
      <c r="F118" s="53">
        <v>7.5200000000000003E-2</v>
      </c>
    </row>
    <row r="119" spans="1:7" ht="15.75" x14ac:dyDescent="0.25">
      <c r="A119" s="35" t="s">
        <v>34</v>
      </c>
      <c r="B119" s="19">
        <f>B89+B88+B64+B35+B9</f>
        <v>44420.898549999998</v>
      </c>
      <c r="C119" s="19">
        <f>C89+C88+C64+C35+C9</f>
        <v>533050.78259999992</v>
      </c>
      <c r="D119" s="19">
        <f>D89+D88+D64+D35+D9</f>
        <v>157344.552</v>
      </c>
      <c r="E119" s="17">
        <f>C119-D119</f>
        <v>375706.23059999989</v>
      </c>
      <c r="F119" s="55"/>
      <c r="G119" s="19"/>
    </row>
    <row r="120" spans="1:7" ht="15.75" x14ac:dyDescent="0.25">
      <c r="A120" s="31" t="s">
        <v>27</v>
      </c>
      <c r="B120" s="30">
        <f>тариф!B31</f>
        <v>3341.5</v>
      </c>
      <c r="C120" s="30">
        <f>тариф!B31</f>
        <v>3341.5</v>
      </c>
      <c r="D120" s="30">
        <f>тариф!B31</f>
        <v>3341.5</v>
      </c>
      <c r="E120" s="57"/>
      <c r="F120" s="16"/>
    </row>
    <row r="121" spans="1:7" ht="15.75" x14ac:dyDescent="0.25">
      <c r="A121" s="43" t="s">
        <v>38</v>
      </c>
      <c r="B121" s="44">
        <f>B119/B120</f>
        <v>13.293699999999999</v>
      </c>
      <c r="C121" s="44">
        <f>C119/C120/12</f>
        <v>13.293699999999999</v>
      </c>
      <c r="D121" s="44"/>
      <c r="E121" s="46"/>
      <c r="F121" s="21"/>
    </row>
    <row r="122" spans="1:7" ht="15.75" x14ac:dyDescent="0.25">
      <c r="A122" s="45"/>
      <c r="B122" s="52"/>
      <c r="C122" s="52"/>
      <c r="D122" s="52"/>
      <c r="E122" s="52"/>
      <c r="F122" s="21"/>
    </row>
    <row r="123" spans="1:7" ht="15.75" hidden="1" x14ac:dyDescent="0.25">
      <c r="A123" s="45"/>
      <c r="B123" s="52"/>
      <c r="C123" s="52"/>
      <c r="D123" s="52"/>
      <c r="E123" s="52"/>
      <c r="F123" s="21"/>
    </row>
    <row r="124" spans="1:7" ht="18.75" hidden="1" x14ac:dyDescent="0.3">
      <c r="A124" s="48" t="s">
        <v>47</v>
      </c>
      <c r="B124" s="1" t="s">
        <v>32</v>
      </c>
      <c r="C124" s="49" t="s">
        <v>48</v>
      </c>
      <c r="D124" s="49"/>
      <c r="E124" s="49"/>
      <c r="F124" s="1"/>
    </row>
    <row r="125" spans="1:7" ht="15.75" x14ac:dyDescent="0.25">
      <c r="A125" s="32"/>
      <c r="B125" s="51"/>
      <c r="C125" s="51"/>
      <c r="D125" s="51"/>
      <c r="E125" s="51"/>
    </row>
    <row r="126" spans="1:7" ht="15.75" x14ac:dyDescent="0.25">
      <c r="A126" s="15" t="s">
        <v>31</v>
      </c>
      <c r="B126" s="47" t="s">
        <v>45</v>
      </c>
      <c r="C126" s="47"/>
      <c r="D126" s="47" t="s">
        <v>73</v>
      </c>
      <c r="E126" s="47"/>
    </row>
    <row r="127" spans="1:7" ht="15.75" x14ac:dyDescent="0.25">
      <c r="A127" s="32"/>
      <c r="B127" s="51"/>
      <c r="C127" s="51"/>
      <c r="D127" s="51"/>
      <c r="E127" s="51"/>
    </row>
  </sheetData>
  <mergeCells count="5">
    <mergeCell ref="A2:E2"/>
    <mergeCell ref="B4:E4"/>
    <mergeCell ref="A5:A7"/>
    <mergeCell ref="B5:C5"/>
    <mergeCell ref="A3:E3"/>
  </mergeCells>
  <pageMargins left="0.7" right="0.7" top="0.75" bottom="0.75" header="0.3" footer="0.3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2" workbookViewId="0">
      <selection activeCell="C8" sqref="C8"/>
    </sheetView>
  </sheetViews>
  <sheetFormatPr defaultRowHeight="15" x14ac:dyDescent="0.25"/>
  <cols>
    <col min="1" max="1" width="54.7109375" customWidth="1"/>
    <col min="2" max="2" width="26" customWidth="1"/>
    <col min="3" max="3" width="29.7109375" style="120" customWidth="1"/>
  </cols>
  <sheetData>
    <row r="1" spans="1:3" x14ac:dyDescent="0.25">
      <c r="B1">
        <v>2020</v>
      </c>
    </row>
    <row r="2" spans="1:3" ht="42" customHeight="1" x14ac:dyDescent="0.25">
      <c r="A2" s="78" t="s">
        <v>1</v>
      </c>
      <c r="B2" s="94" t="s">
        <v>150</v>
      </c>
      <c r="C2" s="94" t="s">
        <v>150</v>
      </c>
    </row>
    <row r="3" spans="1:3" ht="19.5" customHeight="1" x14ac:dyDescent="0.25">
      <c r="A3" s="105" t="s">
        <v>92</v>
      </c>
      <c r="B3" s="86">
        <v>185</v>
      </c>
      <c r="C3" s="86">
        <v>177</v>
      </c>
    </row>
    <row r="4" spans="1:3" ht="18.75" customHeight="1" x14ac:dyDescent="0.25">
      <c r="A4" s="79" t="s">
        <v>93</v>
      </c>
      <c r="B4" s="87">
        <v>2020</v>
      </c>
      <c r="C4" s="87">
        <v>2021</v>
      </c>
    </row>
    <row r="5" spans="1:3" ht="18.75" customHeight="1" x14ac:dyDescent="0.25">
      <c r="A5" s="79" t="s">
        <v>94</v>
      </c>
      <c r="B5" s="87">
        <v>1989</v>
      </c>
      <c r="C5" s="87">
        <v>1989</v>
      </c>
    </row>
    <row r="6" spans="1:3" ht="18" customHeight="1" x14ac:dyDescent="0.25">
      <c r="A6" s="79" t="s">
        <v>95</v>
      </c>
      <c r="B6" s="88">
        <v>31</v>
      </c>
      <c r="C6" s="88">
        <f t="shared" ref="C6" si="0">C4-C5</f>
        <v>32</v>
      </c>
    </row>
    <row r="7" spans="1:3" ht="16.5" customHeight="1" x14ac:dyDescent="0.25">
      <c r="A7" s="79" t="s">
        <v>96</v>
      </c>
      <c r="B7" s="89">
        <v>3308</v>
      </c>
      <c r="C7" s="121">
        <v>3308</v>
      </c>
    </row>
    <row r="8" spans="1:3" ht="18" customHeight="1" x14ac:dyDescent="0.25">
      <c r="A8" s="79" t="s">
        <v>97</v>
      </c>
      <c r="B8" s="89">
        <v>3031</v>
      </c>
      <c r="C8" s="150">
        <v>3341.5</v>
      </c>
    </row>
    <row r="9" spans="1:3" ht="18" customHeight="1" x14ac:dyDescent="0.25">
      <c r="A9" s="79" t="s">
        <v>98</v>
      </c>
      <c r="B9" s="89" t="s">
        <v>126</v>
      </c>
      <c r="C9" s="89" t="s">
        <v>126</v>
      </c>
    </row>
    <row r="10" spans="1:3" ht="16.5" customHeight="1" x14ac:dyDescent="0.25">
      <c r="A10" s="79" t="s">
        <v>127</v>
      </c>
      <c r="B10" s="87">
        <v>3031</v>
      </c>
      <c r="C10" s="87">
        <f t="shared" ref="C10" si="1">IF(C9&gt;0,C8,0)</f>
        <v>3341.5</v>
      </c>
    </row>
    <row r="11" spans="1:3" ht="16.5" customHeight="1" x14ac:dyDescent="0.25">
      <c r="A11" s="79" t="s">
        <v>99</v>
      </c>
      <c r="B11" s="89">
        <v>5</v>
      </c>
      <c r="C11" s="89">
        <v>5</v>
      </c>
    </row>
    <row r="12" spans="1:3" ht="16.5" customHeight="1" x14ac:dyDescent="0.25">
      <c r="A12" s="79" t="s">
        <v>100</v>
      </c>
      <c r="B12" s="89">
        <v>50</v>
      </c>
      <c r="C12" s="89">
        <v>50</v>
      </c>
    </row>
    <row r="13" spans="1:3" ht="16.5" customHeight="1" x14ac:dyDescent="0.25">
      <c r="A13" s="79" t="s">
        <v>101</v>
      </c>
      <c r="B13" s="89">
        <v>50</v>
      </c>
      <c r="C13" s="89">
        <f t="shared" ref="C13" si="2">IF(AND(C14+C15=C16+C17,C14+C15=C12),C12,"ОШИБКА")</f>
        <v>50</v>
      </c>
    </row>
    <row r="14" spans="1:3" ht="15" customHeight="1" x14ac:dyDescent="0.25">
      <c r="A14" s="80" t="s">
        <v>102</v>
      </c>
      <c r="B14" s="89">
        <v>50</v>
      </c>
      <c r="C14" s="89">
        <v>50</v>
      </c>
    </row>
    <row r="15" spans="1:3" ht="16.5" customHeight="1" x14ac:dyDescent="0.25">
      <c r="A15" s="80" t="s">
        <v>103</v>
      </c>
      <c r="B15" s="89">
        <v>0</v>
      </c>
      <c r="C15" s="89">
        <v>0</v>
      </c>
    </row>
    <row r="16" spans="1:3" ht="15.75" customHeight="1" x14ac:dyDescent="0.25">
      <c r="A16" s="80" t="s">
        <v>104</v>
      </c>
      <c r="B16" s="89">
        <v>50</v>
      </c>
      <c r="C16" s="89">
        <v>50</v>
      </c>
    </row>
    <row r="17" spans="1:3" ht="15.75" customHeight="1" x14ac:dyDescent="0.25">
      <c r="A17" s="80" t="s">
        <v>105</v>
      </c>
      <c r="B17" s="89">
        <v>0</v>
      </c>
      <c r="C17" s="89">
        <v>0</v>
      </c>
    </row>
    <row r="18" spans="1:3" ht="16.5" customHeight="1" x14ac:dyDescent="0.25">
      <c r="A18" s="79" t="s">
        <v>106</v>
      </c>
      <c r="B18" s="89">
        <v>148</v>
      </c>
      <c r="C18" s="89">
        <v>148</v>
      </c>
    </row>
    <row r="19" spans="1:3" ht="18" customHeight="1" x14ac:dyDescent="0.25">
      <c r="A19" s="79" t="s">
        <v>107</v>
      </c>
      <c r="B19" s="90">
        <v>909.6</v>
      </c>
      <c r="C19" s="90">
        <f t="shared" ref="C19" si="3">SUM(C20:C22)</f>
        <v>909.6</v>
      </c>
    </row>
    <row r="20" spans="1:3" ht="15.75" customHeight="1" x14ac:dyDescent="0.25">
      <c r="A20" s="81" t="s">
        <v>108</v>
      </c>
      <c r="B20" s="89">
        <v>0</v>
      </c>
      <c r="C20" s="89">
        <v>0</v>
      </c>
    </row>
    <row r="21" spans="1:3" ht="18" customHeight="1" x14ac:dyDescent="0.25">
      <c r="A21" s="81" t="s">
        <v>109</v>
      </c>
      <c r="B21" s="89">
        <v>909.6</v>
      </c>
      <c r="C21" s="89">
        <v>909.6</v>
      </c>
    </row>
    <row r="22" spans="1:3" ht="18" customHeight="1" x14ac:dyDescent="0.25">
      <c r="A22" s="81" t="s">
        <v>110</v>
      </c>
      <c r="B22" s="89">
        <v>0</v>
      </c>
      <c r="C22" s="89">
        <v>0</v>
      </c>
    </row>
    <row r="23" spans="1:3" ht="18" customHeight="1" x14ac:dyDescent="0.25">
      <c r="A23" s="79" t="s">
        <v>111</v>
      </c>
      <c r="B23" s="90">
        <v>3308</v>
      </c>
      <c r="C23" s="90">
        <f t="shared" ref="C23" si="4">SUM(C24:C26)</f>
        <v>3308</v>
      </c>
    </row>
    <row r="24" spans="1:3" ht="18.75" customHeight="1" x14ac:dyDescent="0.25">
      <c r="A24" s="81" t="s">
        <v>112</v>
      </c>
      <c r="B24" s="89">
        <v>0</v>
      </c>
      <c r="C24" s="89">
        <v>0</v>
      </c>
    </row>
    <row r="25" spans="1:3" ht="15.75" customHeight="1" x14ac:dyDescent="0.25">
      <c r="A25" s="82" t="s">
        <v>113</v>
      </c>
      <c r="B25" s="91">
        <v>3308</v>
      </c>
      <c r="C25" s="89">
        <f t="shared" ref="C25" si="5">C7</f>
        <v>3308</v>
      </c>
    </row>
    <row r="26" spans="1:3" ht="19.5" customHeight="1" x14ac:dyDescent="0.25">
      <c r="A26" s="83" t="s">
        <v>114</v>
      </c>
      <c r="B26" s="87">
        <v>0</v>
      </c>
      <c r="C26" s="87">
        <v>0</v>
      </c>
    </row>
    <row r="27" spans="1:3" ht="15" customHeight="1" x14ac:dyDescent="0.25">
      <c r="A27" s="79" t="s">
        <v>115</v>
      </c>
      <c r="B27" s="87">
        <v>760.1</v>
      </c>
      <c r="C27" s="87">
        <v>760.1</v>
      </c>
    </row>
    <row r="28" spans="1:3" ht="16.5" customHeight="1" x14ac:dyDescent="0.25">
      <c r="A28" s="79" t="s">
        <v>116</v>
      </c>
      <c r="B28" s="89">
        <v>277</v>
      </c>
      <c r="C28" s="89">
        <v>277</v>
      </c>
    </row>
    <row r="29" spans="1:3" ht="15.75" customHeight="1" x14ac:dyDescent="0.25">
      <c r="A29" s="84" t="s">
        <v>117</v>
      </c>
      <c r="B29" s="92">
        <v>1524</v>
      </c>
      <c r="C29" s="149">
        <f t="shared" ref="C29" si="6">SUM(C30:C32)</f>
        <v>1524</v>
      </c>
    </row>
    <row r="30" spans="1:3" ht="15" customHeight="1" x14ac:dyDescent="0.25">
      <c r="A30" s="117" t="s">
        <v>118</v>
      </c>
      <c r="B30" s="104">
        <v>1524</v>
      </c>
      <c r="C30" s="89">
        <v>1524</v>
      </c>
    </row>
    <row r="31" spans="1:3" ht="15" customHeight="1" x14ac:dyDescent="0.25">
      <c r="A31" s="80" t="s">
        <v>119</v>
      </c>
      <c r="B31" s="89">
        <v>0</v>
      </c>
      <c r="C31" s="89">
        <v>0</v>
      </c>
    </row>
    <row r="32" spans="1:3" ht="15" customHeight="1" x14ac:dyDescent="0.25">
      <c r="A32" s="80" t="s">
        <v>120</v>
      </c>
      <c r="B32" s="89">
        <v>0</v>
      </c>
      <c r="C32" s="89">
        <v>0</v>
      </c>
    </row>
    <row r="33" spans="1:3" ht="16.5" customHeight="1" x14ac:dyDescent="0.25">
      <c r="A33" s="79" t="s">
        <v>121</v>
      </c>
      <c r="B33" s="89">
        <v>4</v>
      </c>
      <c r="C33" s="89">
        <f t="shared" ref="C33" si="7">SUM(C34:C35)</f>
        <v>4</v>
      </c>
    </row>
    <row r="34" spans="1:3" ht="15.75" customHeight="1" x14ac:dyDescent="0.25">
      <c r="A34" s="85" t="s">
        <v>122</v>
      </c>
      <c r="B34" s="89">
        <v>4</v>
      </c>
      <c r="C34" s="89">
        <v>4</v>
      </c>
    </row>
    <row r="35" spans="1:3" ht="13.5" customHeight="1" x14ac:dyDescent="0.25">
      <c r="A35" s="85" t="s">
        <v>123</v>
      </c>
      <c r="B35" s="89">
        <v>0</v>
      </c>
      <c r="C35" s="89">
        <v>0</v>
      </c>
    </row>
    <row r="36" spans="1:3" ht="15.75" customHeight="1" x14ac:dyDescent="0.25">
      <c r="A36" s="84" t="s">
        <v>124</v>
      </c>
      <c r="B36" s="93">
        <v>2</v>
      </c>
      <c r="C36" s="93">
        <v>2</v>
      </c>
    </row>
    <row r="37" spans="1:3" ht="16.5" customHeight="1" x14ac:dyDescent="0.25">
      <c r="A37" s="84" t="s">
        <v>125</v>
      </c>
      <c r="B37" s="89">
        <v>4</v>
      </c>
      <c r="C37" s="89">
        <v>4</v>
      </c>
    </row>
    <row r="38" spans="1:3" ht="15.75" x14ac:dyDescent="0.25">
      <c r="A38" s="96" t="s">
        <v>128</v>
      </c>
      <c r="B38" s="118"/>
    </row>
    <row r="39" spans="1:3" ht="15.75" x14ac:dyDescent="0.25">
      <c r="A39" s="95" t="s">
        <v>129</v>
      </c>
      <c r="B39" s="118"/>
    </row>
    <row r="40" spans="1:3" ht="15.75" x14ac:dyDescent="0.25">
      <c r="A40" s="95" t="s">
        <v>145</v>
      </c>
      <c r="B40" s="119">
        <v>7.24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калькуляция 2021</vt:lpstr>
      <vt:lpstr>тариф 01.10.21</vt:lpstr>
      <vt:lpstr>тариф</vt:lpstr>
      <vt:lpstr>калькуляция 2020</vt:lpstr>
      <vt:lpstr>калькуляция 2019</vt:lpstr>
      <vt:lpstr>ТХ дома</vt:lpstr>
      <vt:lpstr>'калькуляция 2019'!Область_печати</vt:lpstr>
      <vt:lpstr>'калькуляция 2020'!Область_печати</vt:lpstr>
      <vt:lpstr>'калькуляция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Masha</cp:lastModifiedBy>
  <cp:lastPrinted>2022-06-08T07:54:25Z</cp:lastPrinted>
  <dcterms:created xsi:type="dcterms:W3CDTF">2018-03-30T11:45:59Z</dcterms:created>
  <dcterms:modified xsi:type="dcterms:W3CDTF">2022-06-08T14:05:51Z</dcterms:modified>
</cp:coreProperties>
</file>